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\OneDrive\Área de Trabalho\Camara Pedro Teixeira\Edital e anexos\"/>
    </mc:Choice>
  </mc:AlternateContent>
  <xr:revisionPtr revIDLastSave="0" documentId="13_ncr:1_{8609C41D-684B-4BF6-BAE0-56A93A32AF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 DE CUSTOS" sheetId="1" r:id="rId1"/>
    <sheet name="MEMORIAL DE CALCULO" sheetId="5" r:id="rId2"/>
    <sheet name="CRONOGRAMA" sheetId="3" r:id="rId3"/>
  </sheets>
  <definedNames>
    <definedName name="_xlnm.Print_Area" localSheetId="2">CRONOGRAMA!$A$1:$K$39</definedName>
    <definedName name="_xlnm.Print_Area" localSheetId="1">'MEMORIAL DE CALCULO'!$B$1:$I$1029</definedName>
    <definedName name="_xlnm.Print_Area" localSheetId="0">'PLANILHA DE CUSTOS'!$A$1:$I$151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3" i="1" l="1"/>
  <c r="H143" i="1" s="1"/>
  <c r="I143" i="1" s="1"/>
  <c r="I31" i="3"/>
  <c r="H103" i="1"/>
  <c r="G44" i="1"/>
  <c r="H44" i="1" s="1"/>
  <c r="D409" i="5"/>
  <c r="G17" i="3"/>
  <c r="I17" i="3" s="1"/>
  <c r="K17" i="3" s="1"/>
  <c r="H99" i="1"/>
  <c r="I99" i="1" s="1"/>
  <c r="H97" i="1"/>
  <c r="I97" i="1" s="1"/>
  <c r="H96" i="1"/>
  <c r="I96" i="1" s="1"/>
  <c r="H50" i="1"/>
  <c r="I50" i="1" s="1"/>
  <c r="I51" i="1" s="1"/>
  <c r="D22" i="3" s="1"/>
  <c r="D120" i="5" l="1"/>
  <c r="G29" i="1"/>
  <c r="H29" i="1" s="1"/>
  <c r="I29" i="1" s="1"/>
  <c r="I30" i="1" s="1"/>
  <c r="D17" i="3" s="1"/>
  <c r="G16" i="3"/>
  <c r="G21" i="3"/>
  <c r="G22" i="3"/>
  <c r="G23" i="3"/>
  <c r="G25" i="3"/>
  <c r="G32" i="3"/>
  <c r="G30" i="3"/>
  <c r="G29" i="3"/>
  <c r="I29" i="3" s="1"/>
  <c r="G28" i="3"/>
  <c r="I28" i="3" s="1"/>
  <c r="K28" i="3" s="1"/>
  <c r="G27" i="3"/>
  <c r="I27" i="3" s="1"/>
  <c r="F97" i="1"/>
  <c r="F96" i="1"/>
  <c r="D867" i="5"/>
  <c r="F99" i="1"/>
  <c r="G110" i="1"/>
  <c r="H110" i="1" s="1"/>
  <c r="I110" i="1" s="1"/>
  <c r="G108" i="1"/>
  <c r="H108" i="1" s="1"/>
  <c r="I108" i="1" s="1"/>
  <c r="G106" i="1"/>
  <c r="H106" i="1" s="1"/>
  <c r="I106" i="1" s="1"/>
  <c r="D110" i="5"/>
  <c r="G26" i="1"/>
  <c r="H26" i="1" s="1"/>
  <c r="I26" i="1" s="1"/>
  <c r="I27" i="1" s="1"/>
  <c r="D16" i="3" s="1"/>
  <c r="K29" i="3"/>
  <c r="I30" i="3"/>
  <c r="K30" i="3" s="1"/>
  <c r="I32" i="3"/>
  <c r="K32" i="3" s="1"/>
  <c r="G31" i="3"/>
  <c r="G26" i="3"/>
  <c r="E500" i="5"/>
  <c r="G476" i="5"/>
  <c r="G186" i="5"/>
  <c r="G264" i="5"/>
  <c r="E153" i="5"/>
  <c r="E66" i="5"/>
  <c r="G177" i="5"/>
  <c r="G176" i="5"/>
  <c r="G512" i="5"/>
  <c r="G511" i="5"/>
  <c r="G510" i="5"/>
  <c r="G509" i="5"/>
  <c r="G339" i="5"/>
  <c r="G338" i="5"/>
  <c r="G254" i="5"/>
  <c r="G253" i="5"/>
  <c r="D768" i="5"/>
  <c r="G93" i="1"/>
  <c r="H93" i="1" s="1"/>
  <c r="I93" i="1" s="1"/>
  <c r="D835" i="5"/>
  <c r="I103" i="1"/>
  <c r="I16" i="3" l="1"/>
  <c r="K16" i="3" s="1"/>
  <c r="D424" i="5"/>
  <c r="G47" i="1"/>
  <c r="H47" i="1" s="1"/>
  <c r="I47" i="1" s="1"/>
  <c r="I48" i="1" s="1"/>
  <c r="G341" i="5"/>
  <c r="G340" i="5"/>
  <c r="G256" i="5"/>
  <c r="G255" i="5"/>
  <c r="G332" i="5"/>
  <c r="G331" i="5"/>
  <c r="E308" i="5"/>
  <c r="G308" i="5" s="1"/>
  <c r="G482" i="5"/>
  <c r="G345" i="5"/>
  <c r="E479" i="5"/>
  <c r="G479" i="5" s="1"/>
  <c r="E480" i="5"/>
  <c r="G480" i="5" s="1"/>
  <c r="G329" i="5"/>
  <c r="G328" i="5"/>
  <c r="G38" i="1"/>
  <c r="H38" i="1" s="1"/>
  <c r="I38" i="1" s="1"/>
  <c r="I39" i="1" s="1"/>
  <c r="D19" i="3" s="1"/>
  <c r="E243" i="5"/>
  <c r="G243" i="5" s="1"/>
  <c r="E327" i="5"/>
  <c r="G327" i="5" s="1"/>
  <c r="D363" i="5"/>
  <c r="D90" i="5"/>
  <c r="D98" i="5"/>
  <c r="D403" i="5"/>
  <c r="D394" i="5"/>
  <c r="D387" i="5"/>
  <c r="D522" i="5"/>
  <c r="G178" i="5"/>
  <c r="G179" i="5"/>
  <c r="G18" i="1"/>
  <c r="H18" i="1" s="1"/>
  <c r="I18" i="1" s="1"/>
  <c r="D46" i="5"/>
  <c r="D271" i="5"/>
  <c r="D193" i="5"/>
  <c r="D352" i="5"/>
  <c r="E226" i="5"/>
  <c r="G226" i="5" s="1"/>
  <c r="E220" i="5"/>
  <c r="G220" i="5" s="1"/>
  <c r="E207" i="5"/>
  <c r="G207" i="5" s="1"/>
  <c r="E206" i="5"/>
  <c r="G206" i="5" s="1"/>
  <c r="G153" i="5"/>
  <c r="G154" i="5"/>
  <c r="G167" i="5"/>
  <c r="G166" i="5"/>
  <c r="G170" i="5"/>
  <c r="G169" i="5"/>
  <c r="G242" i="5"/>
  <c r="G241" i="5"/>
  <c r="G246" i="5"/>
  <c r="G245" i="5"/>
  <c r="P896" i="5"/>
  <c r="P897" i="5" s="1"/>
  <c r="N897" i="5"/>
  <c r="N899" i="5" s="1"/>
  <c r="D898" i="5"/>
  <c r="D895" i="5"/>
  <c r="D896" i="5"/>
  <c r="D897" i="5"/>
  <c r="L895" i="5"/>
  <c r="E501" i="5"/>
  <c r="G501" i="5" s="1"/>
  <c r="P504" i="5"/>
  <c r="G500" i="5"/>
  <c r="G503" i="5"/>
  <c r="O443" i="5"/>
  <c r="O444" i="5" s="1"/>
  <c r="Q437" i="5"/>
  <c r="R438" i="5" s="1"/>
  <c r="O436" i="5"/>
  <c r="O438" i="5" s="1"/>
  <c r="D445" i="5"/>
  <c r="D543" i="5"/>
  <c r="G109" i="1"/>
  <c r="H109" i="1" s="1"/>
  <c r="I109" i="1" s="1"/>
  <c r="G107" i="1"/>
  <c r="H107" i="1" s="1"/>
  <c r="I107" i="1" s="1"/>
  <c r="G105" i="1"/>
  <c r="H105" i="1" s="1"/>
  <c r="I105" i="1" s="1"/>
  <c r="G104" i="1"/>
  <c r="H104" i="1" s="1"/>
  <c r="I104" i="1" s="1"/>
  <c r="G118" i="1"/>
  <c r="H118" i="1" s="1"/>
  <c r="I118" i="1" s="1"/>
  <c r="G117" i="1"/>
  <c r="H117" i="1" s="1"/>
  <c r="I117" i="1" s="1"/>
  <c r="G116" i="1"/>
  <c r="H116" i="1" s="1"/>
  <c r="I116" i="1" s="1"/>
  <c r="G115" i="1"/>
  <c r="H115" i="1" s="1"/>
  <c r="I115" i="1" s="1"/>
  <c r="G102" i="1"/>
  <c r="H102" i="1" s="1"/>
  <c r="I102" i="1" s="1"/>
  <c r="G101" i="1"/>
  <c r="H101" i="1" s="1"/>
  <c r="I101" i="1" s="1"/>
  <c r="G100" i="1"/>
  <c r="H100" i="1" s="1"/>
  <c r="I100" i="1" s="1"/>
  <c r="G98" i="1"/>
  <c r="H98" i="1" s="1"/>
  <c r="I98" i="1" s="1"/>
  <c r="G95" i="1"/>
  <c r="H95" i="1" s="1"/>
  <c r="I95" i="1" s="1"/>
  <c r="G94" i="1"/>
  <c r="H94" i="1" s="1"/>
  <c r="I94" i="1" s="1"/>
  <c r="G92" i="1"/>
  <c r="H92" i="1" s="1"/>
  <c r="I92" i="1" s="1"/>
  <c r="G91" i="1"/>
  <c r="H91" i="1" s="1"/>
  <c r="I91" i="1" s="1"/>
  <c r="G90" i="1"/>
  <c r="H90" i="1" s="1"/>
  <c r="I90" i="1" s="1"/>
  <c r="G89" i="1"/>
  <c r="H89" i="1" s="1"/>
  <c r="I89" i="1" s="1"/>
  <c r="G88" i="1"/>
  <c r="H88" i="1" s="1"/>
  <c r="I88" i="1" s="1"/>
  <c r="G87" i="1"/>
  <c r="H87" i="1" s="1"/>
  <c r="I87" i="1" s="1"/>
  <c r="G86" i="1"/>
  <c r="H86" i="1" s="1"/>
  <c r="I86" i="1" s="1"/>
  <c r="G23" i="1"/>
  <c r="H23" i="1" s="1"/>
  <c r="I23" i="1" s="1"/>
  <c r="G33" i="3"/>
  <c r="I33" i="3" s="1"/>
  <c r="K33" i="3" s="1"/>
  <c r="I26" i="3"/>
  <c r="K26" i="3" s="1"/>
  <c r="K27" i="3"/>
  <c r="D376" i="5"/>
  <c r="G43" i="1"/>
  <c r="H43" i="1" s="1"/>
  <c r="I43" i="1" s="1"/>
  <c r="G42" i="1"/>
  <c r="H42" i="1" s="1"/>
  <c r="I42" i="1" s="1"/>
  <c r="G41" i="1"/>
  <c r="H41" i="1" s="1"/>
  <c r="I41" i="1" s="1"/>
  <c r="E909" i="5"/>
  <c r="G909" i="5" s="1"/>
  <c r="G908" i="5"/>
  <c r="E907" i="5"/>
  <c r="G907" i="5" s="1"/>
  <c r="G906" i="5"/>
  <c r="D876" i="5"/>
  <c r="E496" i="5"/>
  <c r="G496" i="5" s="1"/>
  <c r="E515" i="5"/>
  <c r="G515" i="5" s="1"/>
  <c r="E514" i="5"/>
  <c r="G514" i="5" s="1"/>
  <c r="G513" i="5"/>
  <c r="G508" i="5"/>
  <c r="E507" i="5"/>
  <c r="G507" i="5" s="1"/>
  <c r="G506" i="5"/>
  <c r="G505" i="5"/>
  <c r="E504" i="5"/>
  <c r="G504" i="5" s="1"/>
  <c r="G499" i="5"/>
  <c r="G498" i="5"/>
  <c r="E497" i="5"/>
  <c r="G497" i="5" s="1"/>
  <c r="G495" i="5"/>
  <c r="G494" i="5"/>
  <c r="G493" i="5"/>
  <c r="G492" i="5"/>
  <c r="E491" i="5"/>
  <c r="G491" i="5" s="1"/>
  <c r="G490" i="5"/>
  <c r="G489" i="5"/>
  <c r="G488" i="5"/>
  <c r="G487" i="5"/>
  <c r="G486" i="5"/>
  <c r="E485" i="5"/>
  <c r="G485" i="5" s="1"/>
  <c r="G484" i="5"/>
  <c r="G483" i="5"/>
  <c r="G481" i="5"/>
  <c r="G478" i="5"/>
  <c r="G477" i="5"/>
  <c r="G475" i="5"/>
  <c r="G474" i="5"/>
  <c r="G473" i="5"/>
  <c r="G472" i="5"/>
  <c r="G471" i="5"/>
  <c r="G470" i="5"/>
  <c r="G469" i="5"/>
  <c r="G468" i="5"/>
  <c r="G467" i="5"/>
  <c r="G466" i="5"/>
  <c r="E465" i="5"/>
  <c r="G465" i="5" s="1"/>
  <c r="E464" i="5"/>
  <c r="G464" i="5" s="1"/>
  <c r="E463" i="5"/>
  <c r="G463" i="5" s="1"/>
  <c r="G462" i="5"/>
  <c r="G461" i="5"/>
  <c r="G460" i="5"/>
  <c r="G459" i="5"/>
  <c r="F27" i="5"/>
  <c r="F28" i="5" s="1"/>
  <c r="F62" i="5"/>
  <c r="F63" i="5"/>
  <c r="F64" i="5"/>
  <c r="F68" i="5"/>
  <c r="F69" i="5"/>
  <c r="F70" i="5"/>
  <c r="F71" i="5"/>
  <c r="F72" i="5"/>
  <c r="F73" i="5"/>
  <c r="F74" i="5"/>
  <c r="F75" i="5"/>
  <c r="F76" i="5"/>
  <c r="F77" i="5"/>
  <c r="F78" i="5"/>
  <c r="F79" i="5"/>
  <c r="F54" i="5"/>
  <c r="F55" i="5"/>
  <c r="F557" i="5"/>
  <c r="F558" i="5"/>
  <c r="F564" i="5"/>
  <c r="F565" i="5"/>
  <c r="F566" i="5"/>
  <c r="F628" i="5"/>
  <c r="F629" i="5"/>
  <c r="F639" i="5"/>
  <c r="F640" i="5" s="1"/>
  <c r="E343" i="5"/>
  <c r="G343" i="5" s="1"/>
  <c r="E279" i="5"/>
  <c r="G279" i="5" s="1"/>
  <c r="E259" i="5"/>
  <c r="G259" i="5" s="1"/>
  <c r="E258" i="5"/>
  <c r="G258" i="5" s="1"/>
  <c r="E344" i="5"/>
  <c r="G344" i="5" s="1"/>
  <c r="E294" i="5"/>
  <c r="G294" i="5" s="1"/>
  <c r="G342" i="5"/>
  <c r="G337" i="5"/>
  <c r="E336" i="5"/>
  <c r="G336" i="5" s="1"/>
  <c r="G335" i="5"/>
  <c r="G334" i="5"/>
  <c r="E333" i="5"/>
  <c r="G333" i="5" s="1"/>
  <c r="G330" i="5"/>
  <c r="G326" i="5"/>
  <c r="E325" i="5"/>
  <c r="G325" i="5" s="1"/>
  <c r="G324" i="5"/>
  <c r="G323" i="5"/>
  <c r="G322" i="5"/>
  <c r="G321" i="5"/>
  <c r="G320" i="5"/>
  <c r="E319" i="5"/>
  <c r="G319" i="5" s="1"/>
  <c r="G318" i="5"/>
  <c r="G317" i="5"/>
  <c r="G316" i="5"/>
  <c r="G315" i="5"/>
  <c r="G314" i="5"/>
  <c r="E313" i="5"/>
  <c r="G313" i="5" s="1"/>
  <c r="G312" i="5"/>
  <c r="G311" i="5"/>
  <c r="G310" i="5"/>
  <c r="G309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E295" i="5"/>
  <c r="G295" i="5" s="1"/>
  <c r="E293" i="5"/>
  <c r="G293" i="5" s="1"/>
  <c r="G292" i="5"/>
  <c r="G291" i="5"/>
  <c r="G290" i="5"/>
  <c r="G289" i="5"/>
  <c r="G131" i="5"/>
  <c r="G221" i="5"/>
  <c r="G282" i="5"/>
  <c r="G281" i="5"/>
  <c r="G280" i="5"/>
  <c r="G278" i="5"/>
  <c r="E239" i="5"/>
  <c r="G239" i="5" s="1"/>
  <c r="G252" i="5"/>
  <c r="G257" i="5"/>
  <c r="G263" i="5"/>
  <c r="E262" i="5"/>
  <c r="G262" i="5" s="1"/>
  <c r="G261" i="5"/>
  <c r="E260" i="5"/>
  <c r="G260" i="5" s="1"/>
  <c r="G251" i="5"/>
  <c r="E250" i="5"/>
  <c r="G250" i="5" s="1"/>
  <c r="G249" i="5"/>
  <c r="G248" i="5"/>
  <c r="E247" i="5"/>
  <c r="G247" i="5" s="1"/>
  <c r="G244" i="5"/>
  <c r="G240" i="5"/>
  <c r="G238" i="5"/>
  <c r="G237" i="5"/>
  <c r="G236" i="5"/>
  <c r="G235" i="5"/>
  <c r="G234" i="5"/>
  <c r="E233" i="5"/>
  <c r="G233" i="5" s="1"/>
  <c r="G232" i="5"/>
  <c r="G231" i="5"/>
  <c r="G230" i="5"/>
  <c r="G229" i="5"/>
  <c r="G228" i="5"/>
  <c r="E227" i="5"/>
  <c r="G227" i="5" s="1"/>
  <c r="G225" i="5"/>
  <c r="G224" i="5"/>
  <c r="G223" i="5"/>
  <c r="G222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E205" i="5"/>
  <c r="G205" i="5" s="1"/>
  <c r="G204" i="5"/>
  <c r="G203" i="5"/>
  <c r="G202" i="5"/>
  <c r="G201" i="5"/>
  <c r="E174" i="5"/>
  <c r="G174" i="5" s="1"/>
  <c r="E184" i="5"/>
  <c r="G184" i="5" s="1"/>
  <c r="G185" i="5"/>
  <c r="G183" i="5"/>
  <c r="E182" i="5"/>
  <c r="G182" i="5" s="1"/>
  <c r="E181" i="5"/>
  <c r="G181" i="5" s="1"/>
  <c r="E171" i="5"/>
  <c r="G171" i="5" s="1"/>
  <c r="G172" i="5"/>
  <c r="G175" i="5"/>
  <c r="G173" i="5"/>
  <c r="G140" i="5"/>
  <c r="G141" i="5"/>
  <c r="G142" i="5"/>
  <c r="G143" i="5"/>
  <c r="G144" i="5"/>
  <c r="G145" i="5"/>
  <c r="G139" i="5"/>
  <c r="E159" i="5"/>
  <c r="G159" i="5" s="1"/>
  <c r="G160" i="5"/>
  <c r="G157" i="5"/>
  <c r="G162" i="5"/>
  <c r="E152" i="5"/>
  <c r="G152" i="5" s="1"/>
  <c r="G151" i="5"/>
  <c r="G150" i="5"/>
  <c r="G149" i="5"/>
  <c r="G148" i="5"/>
  <c r="G147" i="5"/>
  <c r="G137" i="5"/>
  <c r="G135" i="5"/>
  <c r="G130" i="5"/>
  <c r="G136" i="5"/>
  <c r="G146" i="5"/>
  <c r="G132" i="5"/>
  <c r="G129" i="5"/>
  <c r="E134" i="5"/>
  <c r="G134" i="5" s="1"/>
  <c r="E133" i="5"/>
  <c r="G133" i="5" s="1"/>
  <c r="G138" i="5"/>
  <c r="G180" i="5"/>
  <c r="G168" i="5"/>
  <c r="G165" i="5"/>
  <c r="G164" i="5"/>
  <c r="G163" i="5"/>
  <c r="G161" i="5"/>
  <c r="G158" i="5"/>
  <c r="G156" i="5"/>
  <c r="G155" i="5"/>
  <c r="G128" i="5"/>
  <c r="E80" i="5"/>
  <c r="F80" i="5" s="1"/>
  <c r="E67" i="5"/>
  <c r="F67" i="5" s="1"/>
  <c r="E65" i="5"/>
  <c r="F65" i="5" s="1"/>
  <c r="F66" i="5"/>
  <c r="D22" i="5"/>
  <c r="E39" i="5"/>
  <c r="E40" i="5" s="1"/>
  <c r="G17" i="1"/>
  <c r="H17" i="1" s="1"/>
  <c r="I17" i="1" s="1"/>
  <c r="D15" i="5"/>
  <c r="D34" i="5"/>
  <c r="G16" i="1"/>
  <c r="H16" i="1" s="1"/>
  <c r="I16" i="1" s="1"/>
  <c r="G15" i="1"/>
  <c r="H15" i="1" s="1"/>
  <c r="I15" i="1" s="1"/>
  <c r="D828" i="5"/>
  <c r="D822" i="5"/>
  <c r="D816" i="5"/>
  <c r="D804" i="5"/>
  <c r="D798" i="5"/>
  <c r="D792" i="5"/>
  <c r="D786" i="5"/>
  <c r="D1020" i="5"/>
  <c r="D1014" i="5"/>
  <c r="D1005" i="5"/>
  <c r="D996" i="5"/>
  <c r="D989" i="5"/>
  <c r="G136" i="1"/>
  <c r="H136" i="1" s="1"/>
  <c r="I136" i="1" s="1"/>
  <c r="D780" i="5"/>
  <c r="D761" i="5"/>
  <c r="D755" i="5"/>
  <c r="D749" i="5"/>
  <c r="D707" i="5"/>
  <c r="D722" i="5"/>
  <c r="D976" i="5"/>
  <c r="E968" i="5"/>
  <c r="E967" i="5"/>
  <c r="E960" i="5"/>
  <c r="E961" i="5"/>
  <c r="D953" i="5"/>
  <c r="D945" i="5"/>
  <c r="D939" i="5"/>
  <c r="D932" i="5"/>
  <c r="D926" i="5"/>
  <c r="D919" i="5"/>
  <c r="D674" i="5"/>
  <c r="D667" i="5"/>
  <c r="D659" i="5"/>
  <c r="D651" i="5"/>
  <c r="D601" i="5"/>
  <c r="G70" i="1"/>
  <c r="H70" i="1" s="1"/>
  <c r="I70" i="1" s="1"/>
  <c r="G75" i="1"/>
  <c r="H75" i="1" s="1"/>
  <c r="I75" i="1" s="1"/>
  <c r="D623" i="5"/>
  <c r="D615" i="5"/>
  <c r="D588" i="5"/>
  <c r="D593" i="5" s="1"/>
  <c r="D578" i="5"/>
  <c r="D889" i="5"/>
  <c r="G548" i="5"/>
  <c r="G452" i="5"/>
  <c r="G453" i="5"/>
  <c r="G451" i="5"/>
  <c r="G62" i="1"/>
  <c r="H62" i="1" s="1"/>
  <c r="I62" i="1" s="1"/>
  <c r="G61" i="1"/>
  <c r="H61" i="1" s="1"/>
  <c r="I61" i="1" s="1"/>
  <c r="G35" i="1"/>
  <c r="H35" i="1" s="1"/>
  <c r="I35" i="1" s="1"/>
  <c r="G34" i="1"/>
  <c r="H34" i="1" s="1"/>
  <c r="I34" i="1" s="1"/>
  <c r="G33" i="1"/>
  <c r="H33" i="1" s="1"/>
  <c r="I33" i="1" s="1"/>
  <c r="G32" i="1"/>
  <c r="H32" i="1" s="1"/>
  <c r="I32" i="1" s="1"/>
  <c r="G22" i="1"/>
  <c r="H22" i="1" s="1"/>
  <c r="I22" i="1" s="1"/>
  <c r="G21" i="1"/>
  <c r="H21" i="1" s="1"/>
  <c r="I21" i="1" s="1"/>
  <c r="G13" i="1"/>
  <c r="H13" i="1" s="1"/>
  <c r="I13" i="1" s="1"/>
  <c r="G140" i="1"/>
  <c r="H140" i="1" s="1"/>
  <c r="I140" i="1" s="1"/>
  <c r="G139" i="1"/>
  <c r="H139" i="1" s="1"/>
  <c r="I139" i="1" s="1"/>
  <c r="G69" i="1"/>
  <c r="H69" i="1" s="1"/>
  <c r="I69" i="1" s="1"/>
  <c r="D737" i="5"/>
  <c r="D774" i="5"/>
  <c r="D690" i="5"/>
  <c r="D683" i="5"/>
  <c r="G14" i="1"/>
  <c r="H14" i="1" s="1"/>
  <c r="I14" i="1" s="1"/>
  <c r="G10" i="1"/>
  <c r="I23" i="3"/>
  <c r="K23" i="3" s="1"/>
  <c r="K31" i="3"/>
  <c r="I25" i="3"/>
  <c r="K25" i="3" s="1"/>
  <c r="G24" i="3"/>
  <c r="I24" i="3" s="1"/>
  <c r="K24" i="3" s="1"/>
  <c r="I22" i="3"/>
  <c r="K22" i="3" s="1"/>
  <c r="I21" i="3"/>
  <c r="K21" i="3" s="1"/>
  <c r="G20" i="3"/>
  <c r="I20" i="3" s="1"/>
  <c r="K20" i="3" s="1"/>
  <c r="G19" i="3"/>
  <c r="I19" i="3" s="1"/>
  <c r="K19" i="3" s="1"/>
  <c r="G18" i="3"/>
  <c r="I18" i="3" s="1"/>
  <c r="K18" i="3" s="1"/>
  <c r="G15" i="3"/>
  <c r="I15" i="3" s="1"/>
  <c r="K15" i="3" s="1"/>
  <c r="G14" i="3"/>
  <c r="I14" i="3" s="1"/>
  <c r="K14" i="3" s="1"/>
  <c r="G13" i="3"/>
  <c r="I13" i="3" s="1"/>
  <c r="K13" i="3" s="1"/>
  <c r="G131" i="1"/>
  <c r="H131" i="1" s="1"/>
  <c r="I131" i="1" s="1"/>
  <c r="G130" i="1"/>
  <c r="H130" i="1" s="1"/>
  <c r="I130" i="1" s="1"/>
  <c r="G129" i="1"/>
  <c r="H129" i="1" s="1"/>
  <c r="I129" i="1" s="1"/>
  <c r="G74" i="1"/>
  <c r="H74" i="1" s="1"/>
  <c r="I74" i="1" s="1"/>
  <c r="G73" i="1"/>
  <c r="H73" i="1" s="1"/>
  <c r="I73" i="1" s="1"/>
  <c r="G55" i="1"/>
  <c r="H55" i="1" s="1"/>
  <c r="I55" i="1" s="1"/>
  <c r="G78" i="1"/>
  <c r="H78" i="1" s="1"/>
  <c r="I78" i="1" s="1"/>
  <c r="G72" i="1"/>
  <c r="H72" i="1" s="1"/>
  <c r="I72" i="1" s="1"/>
  <c r="G67" i="1"/>
  <c r="H67" i="1" s="1"/>
  <c r="I67" i="1" s="1"/>
  <c r="G58" i="1"/>
  <c r="H58" i="1" s="1"/>
  <c r="I58" i="1" s="1"/>
  <c r="G123" i="1"/>
  <c r="H123" i="1" s="1"/>
  <c r="I123" i="1" s="1"/>
  <c r="G124" i="1"/>
  <c r="H124" i="1" s="1"/>
  <c r="I124" i="1" s="1"/>
  <c r="G83" i="1"/>
  <c r="H83" i="1" s="1"/>
  <c r="I83" i="1" s="1"/>
  <c r="G121" i="1"/>
  <c r="H121" i="1" s="1"/>
  <c r="I121" i="1" s="1"/>
  <c r="G122" i="1"/>
  <c r="H122" i="1" s="1"/>
  <c r="I122" i="1" s="1"/>
  <c r="G135" i="1"/>
  <c r="H135" i="1" s="1"/>
  <c r="I135" i="1" s="1"/>
  <c r="G125" i="1"/>
  <c r="H125" i="1" s="1"/>
  <c r="I125" i="1" s="1"/>
  <c r="G126" i="1"/>
  <c r="H126" i="1" s="1"/>
  <c r="I126" i="1" s="1"/>
  <c r="G134" i="1"/>
  <c r="H134" i="1" s="1"/>
  <c r="I134" i="1" s="1"/>
  <c r="G82" i="1"/>
  <c r="H82" i="1" s="1"/>
  <c r="I82" i="1" s="1"/>
  <c r="G81" i="1"/>
  <c r="H81" i="1" s="1"/>
  <c r="I81" i="1" s="1"/>
  <c r="G80" i="1"/>
  <c r="H80" i="1" s="1"/>
  <c r="I80" i="1" s="1"/>
  <c r="G79" i="1"/>
  <c r="H79" i="1" s="1"/>
  <c r="I79" i="1" s="1"/>
  <c r="G71" i="1"/>
  <c r="H71" i="1" s="1"/>
  <c r="I71" i="1" s="1"/>
  <c r="G68" i="1"/>
  <c r="H68" i="1" s="1"/>
  <c r="I68" i="1" s="1"/>
  <c r="G57" i="1"/>
  <c r="H57" i="1" s="1"/>
  <c r="I57" i="1" s="1"/>
  <c r="G56" i="1"/>
  <c r="H56" i="1" s="1"/>
  <c r="I56" i="1" s="1"/>
  <c r="G54" i="1"/>
  <c r="H54" i="1" s="1"/>
  <c r="I54" i="1" s="1"/>
  <c r="G53" i="1"/>
  <c r="H53" i="1" s="1"/>
  <c r="I53" i="1" s="1"/>
  <c r="D21" i="3" l="1"/>
  <c r="I145" i="1"/>
  <c r="I19" i="1"/>
  <c r="D14" i="3" s="1"/>
  <c r="I24" i="1"/>
  <c r="D15" i="3" s="1"/>
  <c r="H10" i="1"/>
  <c r="I10" i="1" s="1"/>
  <c r="I111" i="1"/>
  <c r="I144" i="1"/>
  <c r="I76" i="1"/>
  <c r="D25" i="3" s="1"/>
  <c r="I63" i="1"/>
  <c r="D24" i="3" s="1"/>
  <c r="I119" i="1"/>
  <c r="D28" i="3" s="1"/>
  <c r="I36" i="1"/>
  <c r="D18" i="3" s="1"/>
  <c r="I59" i="1"/>
  <c r="D23" i="3" s="1"/>
  <c r="I137" i="1"/>
  <c r="D31" i="3" s="1"/>
  <c r="I127" i="1"/>
  <c r="D29" i="3" s="1"/>
  <c r="I84" i="1"/>
  <c r="D26" i="3" s="1"/>
  <c r="I132" i="1"/>
  <c r="I44" i="1"/>
  <c r="I45" i="1" s="1"/>
  <c r="D20" i="3" s="1"/>
  <c r="I141" i="1"/>
  <c r="D32" i="3" s="1"/>
  <c r="E100" i="5"/>
  <c r="G346" i="5"/>
  <c r="E354" i="5" s="1"/>
  <c r="E396" i="5"/>
  <c r="D900" i="5"/>
  <c r="O440" i="5"/>
  <c r="Q445" i="5"/>
  <c r="G910" i="5"/>
  <c r="F559" i="5"/>
  <c r="F56" i="5"/>
  <c r="G187" i="5"/>
  <c r="E195" i="5" s="1"/>
  <c r="F567" i="5"/>
  <c r="F630" i="5"/>
  <c r="D634" i="5" s="1"/>
  <c r="G516" i="5"/>
  <c r="F81" i="5"/>
  <c r="G283" i="5"/>
  <c r="G265" i="5"/>
  <c r="E273" i="5" s="1"/>
  <c r="E969" i="5"/>
  <c r="E962" i="5"/>
  <c r="G549" i="5"/>
  <c r="G454" i="5"/>
  <c r="D33" i="3" l="1"/>
  <c r="D30" i="3"/>
  <c r="D27" i="3"/>
  <c r="I11" i="1"/>
  <c r="E524" i="5"/>
  <c r="D528" i="5" s="1"/>
  <c r="S442" i="5"/>
  <c r="L439" i="5" s="1"/>
  <c r="L440" i="5" s="1"/>
  <c r="D13" i="3" l="1"/>
  <c r="D35" i="3" s="1"/>
  <c r="E13" i="3" s="1"/>
  <c r="E29" i="3" l="1"/>
  <c r="E23" i="3"/>
  <c r="E25" i="3"/>
  <c r="E16" i="3"/>
  <c r="E32" i="3"/>
  <c r="E27" i="3"/>
  <c r="E33" i="3"/>
  <c r="E18" i="3"/>
  <c r="D36" i="3"/>
  <c r="E19" i="3"/>
  <c r="E17" i="3"/>
  <c r="E28" i="3"/>
  <c r="E20" i="3"/>
  <c r="E24" i="3"/>
  <c r="E15" i="3"/>
  <c r="E30" i="3"/>
  <c r="E26" i="3"/>
  <c r="E14" i="3"/>
  <c r="E31" i="3"/>
  <c r="E21" i="3"/>
  <c r="E22" i="3"/>
  <c r="E36" i="3" l="1"/>
  <c r="F35" i="3"/>
  <c r="E35" i="3"/>
  <c r="H35" i="3"/>
  <c r="H36" i="3" s="1"/>
  <c r="J35" i="3"/>
  <c r="J36" i="3" s="1"/>
  <c r="F36" i="3" l="1"/>
  <c r="G35" i="3"/>
  <c r="I35" i="3" s="1"/>
  <c r="K35" i="3" s="1"/>
</calcChain>
</file>

<file path=xl/sharedStrings.xml><?xml version="1.0" encoding="utf-8"?>
<sst xmlns="http://schemas.openxmlformats.org/spreadsheetml/2006/main" count="1227" uniqueCount="511">
  <si>
    <t>INST-TOM-005</t>
  </si>
  <si>
    <t>FECHADURA TIPO EXTERNA, GRAU DE SEGURANÇA MÉDIO, MÁQUINA 40MM, ACABAMENTO COM ESPELHO CROMADO E MAÇANETA MODELO ALAVANCA EM ZAMAC, INCLUSIVE ACESSÓRIOS PARA FIXAÇÃO E DUAS (2) CHAVES</t>
  </si>
  <si>
    <t>FRG-FEC-005</t>
  </si>
  <si>
    <t>_</t>
  </si>
  <si>
    <t>FRG-DOB-015</t>
  </si>
  <si>
    <t>INST-LUZ-005</t>
  </si>
  <si>
    <t>LUMINÁRIA TIPO DROPS COM BASE SUPORTE GALVANIZADA E GLOBO LEITOSO COMPLETA, PARA UMA (1) LÂMPADA LED, POTÊNCIA 15W, BULBO A65, FORNECIMENTO E INSTALAÇÃO, INCLUSIVE BASE E LÂMPADA</t>
  </si>
  <si>
    <t>REGISTRO DE GAVETA, TIPO BASE, ROSCÁVEL 1" (PARA TUBO SOLDÁVEL OU PPR DN 32MM/CPVC DN 28MM), INCLUSIVE ACABAMENTO (PADRÃO MÉDIO) E CANOPLA CROMADOS</t>
  </si>
  <si>
    <t>TORNEIRA METÁLICA PARA TANQUE, ACABAMENTO CROMADO, INCLUSIVE ENGATE FLEXÍVEL METÁLICO, FORNECIMENTO E INSTALAÇÃO</t>
  </si>
  <si>
    <t>13.1</t>
  </si>
  <si>
    <t>10.1</t>
  </si>
  <si>
    <t>9.1</t>
  </si>
  <si>
    <t>LOU-CUB-010</t>
  </si>
  <si>
    <t>BACIA SANITÁRIA (VASO) DE LOUÇA COM CAIXA ACOPLADA, COR BRANCA, INCLUSIVE ACESSÓRIOS DE FIXAÇÃO/VEDAÇÃO, ENGATE FLEXÍVEL METÁLICO, FORNECIMENTO, INSTALAÇÃO E REJUNTAMENTO</t>
  </si>
  <si>
    <t>LOU-VAS-015</t>
  </si>
  <si>
    <t>TANQUE DE MÁRMORE SINTÉTICO SIMPLES, CAPACIDADE 20 LITROS, INCLUSIVE ACESSÓRIOS DE FIXAÇÃO, VÁLVULA DE ESCOAMENTO DE METAL COM ACABAMENTO CROMADO, SIFÃO DE METAL TIPO COPO COM ACABAMENTO CROMADO, FORNECIMENTO E INSTALAÇÃO, EXCLUSIVE TORNEIRA</t>
  </si>
  <si>
    <t>8.2</t>
  </si>
  <si>
    <t>8.3</t>
  </si>
  <si>
    <t>HID-RAL-011</t>
  </si>
  <si>
    <t>INST-AGU-005</t>
  </si>
  <si>
    <t>PONTO DE ÁGUA FRIA EMBUTIDO, INCLUINDO TUBO DE PVC RÍGIDO SOLDÁVEL E CONEXÕES</t>
  </si>
  <si>
    <t>7.1</t>
  </si>
  <si>
    <t>HID-REG-080</t>
  </si>
  <si>
    <t>DOBRADIÇA DE FERRO CROMADA 3 1/2" X 2 1/2"</t>
  </si>
  <si>
    <t>FOR-GES-010</t>
  </si>
  <si>
    <t>PINTURA ACRÍLICA EM TETO, DUAS (2) DEMÃOS, EXCLUSIVE SELADOR ACRÍLICO E MASSA ACRÍLICA/CORRIDA (PVA)</t>
  </si>
  <si>
    <t>EMASSAMENTO EM TETO COM MASSA CORRIDA (PVA), DUAS (2) DEMÃOS, INCLUSIVE LIXAMENTO PARA PINTURA</t>
  </si>
  <si>
    <t>PINTURA ACRÍLICA EM PAREDE, DUAS (2) DEMÃOS, EXCLUSIVE SELADOR ACRÍLICO E MASSA ACRÍLICA/CORRIDA (PVA)</t>
  </si>
  <si>
    <t>PIN-ACR-006</t>
  </si>
  <si>
    <t>PIN-ACR-005</t>
  </si>
  <si>
    <t>ALV-TIJ-025</t>
  </si>
  <si>
    <t>PIS-CON-020</t>
  </si>
  <si>
    <t>CONTRAPISO DESEMPENADO COM ARGAMASSA, TRAÇO 1:3 (CIMENTO E AREIA), ESP. 30MM</t>
  </si>
  <si>
    <t>PIS-CON-015</t>
  </si>
  <si>
    <t>FOLHA DE PORTA MADEIRA DE LEI PRANCHETA PARA PINTURA 60 X 210 CM</t>
  </si>
  <si>
    <t>ESQ-FOL-010</t>
  </si>
  <si>
    <t>INST-ESG-015</t>
  </si>
  <si>
    <t>INST-ESG-005</t>
  </si>
  <si>
    <t>INST-ESG-010</t>
  </si>
  <si>
    <t>PONTO DE EMBUTIR PARA UMA (1) TOMADA, INCLUINDO ELETRODUTO DE PVC RÍGIDO E
CAIXA COM ESPELHO</t>
  </si>
  <si>
    <t>M2</t>
  </si>
  <si>
    <t>12.1</t>
  </si>
  <si>
    <t>13.2</t>
  </si>
  <si>
    <t>JANELAS</t>
  </si>
  <si>
    <t>14.1</t>
  </si>
  <si>
    <t>IIO-PLA-005</t>
  </si>
  <si>
    <t xml:space="preserve">FORNECIMENTO E COLOCAÇÃO DE PLACA DE OBRA EM CHAPA GALVANIZADA (3,00 X 1,50M) </t>
  </si>
  <si>
    <t>UNID</t>
  </si>
  <si>
    <t>PIS-CON-025</t>
  </si>
  <si>
    <t>MARCO DE MADEIRA DE LEI PARA PINTURA, L = 14 CM, 60 X 210 CM</t>
  </si>
  <si>
    <t>ESQ-MAR-005</t>
  </si>
  <si>
    <t>DEMOLIÇÃO DE ALVENARIA DE TIJOLO E BLOCO SEM APROVEITAMENTO DO MATERIAL, INCLUSIVE AFASTAMENTO</t>
  </si>
  <si>
    <t>DEM-ALV-005</t>
  </si>
  <si>
    <t>PONTO DE LUZ EMBUTIDO, INCLUINDO ELETRODUTO DE PVC RÍGIDO E CAIXA COM ESPELHO (POR UNIDADE)</t>
  </si>
  <si>
    <t>-</t>
  </si>
  <si>
    <t>PONTO DE EMBUTIR PARA UM (1) INTERRUPTOR, INCLUINDO ELETRODUTO DE PVC RÍGIDO E CAIXA COM ESPELHO</t>
  </si>
  <si>
    <t>RALO SECO PVC CÔNICO 100 X 40 MM COM GRELHA REDONDA</t>
  </si>
  <si>
    <t>RALO SIFONADO PVC CILINDRÍCO 100 X 70 X 40 MM COM GRELHA REDONDA</t>
  </si>
  <si>
    <t>HID-RAL-013</t>
  </si>
  <si>
    <t>PONTO DE ESGOTO, INCLUINDO TUBO DE PVC RÍGIDO SOLDÁVEL DE 40 MM E CONEXÕES (LAVATÓRIOS, MICTÓRIOS, RALOS SIFONADOS, ETC.)</t>
  </si>
  <si>
    <t>PONTO DE ESGOTO, INCLUINDO TUBO DE PVC RÍGIDO SOLDÁVEL DE 100 MM E CONEXÕES (VASO SANITÁRIO)</t>
  </si>
  <si>
    <t>PONTO DE ESGOTO, INCLUINDO TUBO DE PVC RÍGIDO SOLDÁVEL DE 50 MM E CONEXÕES (PIAS DE COZINHA, MÁQUINAS DE LAVAR, ETC.)</t>
  </si>
  <si>
    <t>ALV-TIJ-030</t>
  </si>
  <si>
    <t>REV-POR-012</t>
  </si>
  <si>
    <t>REV-REB-005</t>
  </si>
  <si>
    <t>REV-REB-010</t>
  </si>
  <si>
    <t>REV-EMB-005</t>
  </si>
  <si>
    <t>REV-CHA-005</t>
  </si>
  <si>
    <t>PONTO DE LUZ EMBUTIDO, INCLUINDO ELETRODUTO DE PVC RÍGIDO E CAIXA COM ESPELHO (ARANDELAS)</t>
  </si>
  <si>
    <t xml:space="preserve"> </t>
  </si>
  <si>
    <t>PIN-TEX-015D</t>
  </si>
  <si>
    <t>PINTURA COM TEXTURA ACRÍLICA COM ROLO, INCLUSIVE UMA (1) DEMÃO DE SELADOR ACRÍLICO</t>
  </si>
  <si>
    <t>PIN-SEL-005</t>
  </si>
  <si>
    <t>PREPARAÇÃO PARA EMASSAMENTO OU PINTURA (LÁTEX/ACRÍLICA) EM PAREDE, INCLUSIVE UMA (1) DEMÃO DE SELADOR ACRÍLICO</t>
  </si>
  <si>
    <t>PEI-GRA-005</t>
  </si>
  <si>
    <t>SOL-GRA-005</t>
  </si>
  <si>
    <t>PIN-EMA-020</t>
  </si>
  <si>
    <t>EMASSAMENTO EM ESQUADRIA DE MADEIRA COM MASSA A ÓLEO, DUAS (2) DEMÃOS, INCLUSIVE LIXAMENTO PARA PINTURA A ÓLEO OU ESMALTE</t>
  </si>
  <si>
    <t>PINTURA ESMALTE EM ESQUADRIA DE MADEIRA, DUAS (2) DEMÃOS, INCLUSIVE UMA (1) DEMÃO DE FUNDO NIVELADOR, EXCLUSIVE MASSA A ÓLEO</t>
  </si>
  <si>
    <t>SENSOR DE PRESENÇA COM FOTOCÉLULA, FIXAÇÃO EM PAREDE - FORNECIMENTO E INSTALAÇÃO</t>
  </si>
  <si>
    <t xml:space="preserve">PEITORIL DE GRANITO E=2 CM (DE ACORDO COM EXISTENTE) </t>
  </si>
  <si>
    <t xml:space="preserve">SOLEIRA DE GRANITO E=2 CM (DE ACORDO COM EXISTENTE) </t>
  </si>
  <si>
    <t>TOTAL GERAL=</t>
  </si>
  <si>
    <t>SOLICITADO</t>
  </si>
  <si>
    <t>BAN-ROD-005</t>
  </si>
  <si>
    <t>M</t>
  </si>
  <si>
    <t>BAN-TES-005</t>
  </si>
  <si>
    <t xml:space="preserve">TESTEIRA EM GRANITO (DE ACORDO COM EXISTENTE) </t>
  </si>
  <si>
    <t>RODABANCADA EM GRANITO (DE ACORDO COM EXISTENTE) H = 7 CM, E = 2 CM</t>
  </si>
  <si>
    <t>BAN-GRA-005</t>
  </si>
  <si>
    <t>M²</t>
  </si>
  <si>
    <t xml:space="preserve">BANCADA EM GRANITO (DE ACORDO COM EXISTENTE) </t>
  </si>
  <si>
    <t>SINAPI 97595</t>
  </si>
  <si>
    <t>INST-STVAL-010</t>
  </si>
  <si>
    <t>PONTO DE EMBUTIR SECO (PARA CAIXA DE SOM)</t>
  </si>
  <si>
    <t>GLOBAL</t>
  </si>
  <si>
    <t>CONCEDENTE: CÂMARA MUNICIPAL DE PEDRO TEIXEIRA</t>
  </si>
  <si>
    <t>MUNICÍPIO: PEDRO TEIXEIRA - MG</t>
  </si>
  <si>
    <t>DISCRIMINAÇÃO  DE SERVIÇOS</t>
  </si>
  <si>
    <t xml:space="preserve">VALOR DOS SERVIÇOS  </t>
  </si>
  <si>
    <t>PESO %</t>
  </si>
  <si>
    <t xml:space="preserve">1ª MEDIÇÃO </t>
  </si>
  <si>
    <t xml:space="preserve">2ª MEDIÇÃO </t>
  </si>
  <si>
    <t xml:space="preserve">3ª MEDIÇÃO </t>
  </si>
  <si>
    <t>ITEM</t>
  </si>
  <si>
    <t>MÊS -01</t>
  </si>
  <si>
    <t>MÊS -02</t>
  </si>
  <si>
    <t>MÊS -03</t>
  </si>
  <si>
    <t>SIMPL.%</t>
  </si>
  <si>
    <t>ACUM. %</t>
  </si>
  <si>
    <t>TOTAL EM PERCENTUAL</t>
  </si>
  <si>
    <t>TOTAL EM REAIS</t>
  </si>
  <si>
    <t>PONTO DE EMBUTIR SECO (PARA SENSOR DE PRESENÇA)</t>
  </si>
  <si>
    <t xml:space="preserve">REVESTIMENTO C/ PORCELANATO 60 X 60 CM, EXTRA, ASSENTADO EM PISO C/ ARGAMASSA PRÉ-FABRICADA, INCLUS. REJUNTAMENTO E=2MM (DE ACORDO COM ESPECIFICADO) </t>
  </si>
  <si>
    <t xml:space="preserve">REVESTIMENTO C/ PORCELANATO 70 X 70 CM, EXTRA, ASSENTADO EM PISO C/ ARGAMASSA PRÉ-FABRICADA, INCLUS. REJUNTAMENTO E=2MM (CONFORME ESPECIFICAÇÕES) </t>
  </si>
  <si>
    <t>REVESTIMENTO C/ PORCELANATO 70 X 70 CM, EXTRA, ASSENTADO C/ ARGAMASSA PRÉ-FABRICADA, INCLUS. REJUNTAMENTO E=2MM (CONFORME ESPECIFICAÇÕES) (RODAPÉ).</t>
  </si>
  <si>
    <t>REVESTIMENTO COM CERÂMICA APLICADO EM PAREDE, ACABAMENTO ESMALTADO, AMBIENTE INTERNO/EXTERNO, PADRÃO EXTRA, DIMENSÃO DA PEÇA ATÉ 2025 CM2, PEI III, ASSENTAMENTO COM ARGAMASSA INDUSTRIALIZADA, INCLUSIVE REJUNTAMENTO E=3MM (CONFORME ESPECIFICAÇÕES).</t>
  </si>
  <si>
    <t>REBOCO COM ARGAMASSA, TRAÇO 1:7 (CIMENTO E AREIA), ESP. 20MM, APLICAÇÃO MANUAL, PREPARO MECÂNICO</t>
  </si>
  <si>
    <t>ORÇAMENTO</t>
  </si>
  <si>
    <t>PAREDES</t>
  </si>
  <si>
    <t>Comprim.(m)</t>
  </si>
  <si>
    <t>Altura</t>
  </si>
  <si>
    <t>Quant.</t>
  </si>
  <si>
    <t>Área total</t>
  </si>
  <si>
    <t>Alt ou Larg.(m)</t>
  </si>
  <si>
    <t>Lados</t>
  </si>
  <si>
    <t>TETO</t>
  </si>
  <si>
    <t>Local</t>
  </si>
  <si>
    <t>unidades</t>
  </si>
  <si>
    <t>unidade</t>
  </si>
  <si>
    <t>AUDITÓRIO</t>
  </si>
  <si>
    <t>HALL</t>
  </si>
  <si>
    <t>SALA DE APOIO AO PALCO</t>
  </si>
  <si>
    <t>CAMARIN</t>
  </si>
  <si>
    <t>ARQUIVO</t>
  </si>
  <si>
    <t>DEPÓSITO</t>
  </si>
  <si>
    <t>WC MASC.</t>
  </si>
  <si>
    <t>WC FEM.</t>
  </si>
  <si>
    <t>GARAGEM</t>
  </si>
  <si>
    <t>RAMPA</t>
  </si>
  <si>
    <t>1) INSTALAÇÕES INICIAIS DA OBRA / LOCAÇÃO</t>
  </si>
  <si>
    <t>1.1) FORNECIMENTO E COLOCAÇÃO DE PLACA DE OBRA EM CHAPA GALVANIZADA (3,00 X 1,50M):</t>
  </si>
  <si>
    <t>1 UNIDADE</t>
  </si>
  <si>
    <t>ESQ-FOL-025</t>
  </si>
  <si>
    <t>FOLHA DE PORTA MADEIRA DE LEI PRANCHETA PARA PINTURA 90 X 210 CM</t>
  </si>
  <si>
    <t>ESQ-REG-010</t>
  </si>
  <si>
    <t>RÉGUA PARA ALISARES DE 7 X 1 CM DE MADEIRA DE LEI PARA PINTURA COLOCADO</t>
  </si>
  <si>
    <t>MARCO EM MADEIRA DE LEI PARA PINTURA, L = 14 CM, 90 X 210 CM</t>
  </si>
  <si>
    <t>ESQ-MAR-020</t>
  </si>
  <si>
    <t>PALCO</t>
  </si>
  <si>
    <t xml:space="preserve">JANELA EM ALUMÍNIO COM PINTURA PRETA, VIDRO INCOLOR 8 MM NA MEDIDA DE 2,25 DE COMPRIMENTO E 0,50 M DE ALTURA.FORNECIMENTO E INSTALAÇÃO </t>
  </si>
  <si>
    <t>2) DEMOLIÇÃO</t>
  </si>
  <si>
    <t>1.1</t>
  </si>
  <si>
    <t>2.2</t>
  </si>
  <si>
    <t>DEMOLIÇÃO DE ALVENARIA DE TIJOLO CERÂMICO SEM APROVEITAMENTO DO MATERIAL, INCLUSIVE AFASTAMENTO</t>
  </si>
  <si>
    <t>DEM-ALV-010</t>
  </si>
  <si>
    <t>2.1)  DEMOLIÇÃO DE ALVENARIA DE TIJOLO CERÂMICO,INCLUSIVE AFASTAMENTO (PAREDES) :</t>
  </si>
  <si>
    <t>REVESTIMENTO PISO E PAREDE</t>
  </si>
  <si>
    <t>2.2)  DEMOLIÇÃO DE ALVENARIA DE TIJOLO E BLOCO,INCLUSIVE AFASTAMENTO (PAREDES) :</t>
  </si>
  <si>
    <t>Comprimento</t>
  </si>
  <si>
    <t xml:space="preserve"> - Portas e janelas</t>
  </si>
  <si>
    <t>m²</t>
  </si>
  <si>
    <t>Área</t>
  </si>
  <si>
    <t>Comp. total</t>
  </si>
  <si>
    <t>ENTRADA</t>
  </si>
  <si>
    <t xml:space="preserve"> ENTRADA</t>
  </si>
  <si>
    <t xml:space="preserve"> INSTALAÇÕES HIDROSSANITÁRIAS</t>
  </si>
  <si>
    <t>SOLEIRA E PEITORIL</t>
  </si>
  <si>
    <t>Largura</t>
  </si>
  <si>
    <t>3) ALVENARIAS</t>
  </si>
  <si>
    <t>ESQUADRIA DE MADEIRA</t>
  </si>
  <si>
    <t>Idem ao item 9.2 =</t>
  </si>
  <si>
    <t>conjunto</t>
  </si>
  <si>
    <t>PINTURA COM VERNIZ SINTÉTICO MARÍTIMO EM ESQUADRIAS DE MADEIRA, DUAS (2) DEMÃOS, ACABAMENTO TIPO ACETINADO (BRILHO SÚTIL)</t>
  </si>
  <si>
    <t>PIN-VER-015</t>
  </si>
  <si>
    <t>PORTA EM MADEIRA DE LEI ESPECIAL COMPLETA 90 X 210 CM, PARA PINTURA, PARA P.N.E., COM PROTEÇÃO INFERIOR EM LAMINADO MELAMÍNICO, INCLUSIVE FERRAGENS E MAÇANETA TIPO ALAVANCA (P2)</t>
  </si>
  <si>
    <t>ESQ-POR-060</t>
  </si>
  <si>
    <t>Dimensão</t>
  </si>
  <si>
    <t>Quantidade</t>
  </si>
  <si>
    <t>Àrea</t>
  </si>
  <si>
    <t>0,90 x 2,10</t>
  </si>
  <si>
    <t>0,60 x 2,10</t>
  </si>
  <si>
    <t>LOUÇAS E METAIS</t>
  </si>
  <si>
    <t>FECHADURA TIPO INTERNA (GORGE), GRAU DE SEGURANÇA MÉDIO, MÁQUINA 40MM, ACABAMENTO COM ESPELHO CROMADO E MAÇANETA MODELO ALAVANCA EM ZAMAC, INCLUSIVE ACESSÓRIOS PARA FIXAÇÃO E DUAS (2) CHAVES</t>
  </si>
  <si>
    <t>FRG-FEC-010</t>
  </si>
  <si>
    <t>FERRAGENS</t>
  </si>
  <si>
    <t>GUARDA-CORPO</t>
  </si>
  <si>
    <t>GUARDA-CORPO EM ALUMÍNIO BRONZE TUBULAR COM CORRIMÃO (RAMPA E PATAMAR DA ENTRADA PRINCIPAL)</t>
  </si>
  <si>
    <t>SPOTS 7W BRANCO QUENTE - NA COR PRETA</t>
  </si>
  <si>
    <t>TRILHO ELETRIFICADO 1M PRETO</t>
  </si>
  <si>
    <t>PLAFON DE LED DE EMBUTIR, NA COR BRANCA, 24W – BRANCO FRIO. DIMENSÕES: 40CM X 40CM</t>
  </si>
  <si>
    <t>PLAFON DE LED DE EMBUTIR, NA COR BRANCA, 18W – BRANCO FRIO. DIMENSÕES: 30CM X 30CM</t>
  </si>
  <si>
    <t>EXAUSTOR</t>
  </si>
  <si>
    <t>DEMOLIÇÃO E REMOÇÕES</t>
  </si>
  <si>
    <t>DEM-POR-005</t>
  </si>
  <si>
    <t>REMOÇÃO DE PORTA OU JANELA INCLUSIVE MARCO E ALIZAR, INCLUSIVE AFASTAMENTO E EMPILHAMENTO</t>
  </si>
  <si>
    <t>REMOÇÃO DE LUMINÁRIA FLUORESCENTE</t>
  </si>
  <si>
    <t>DEM-LUM-005</t>
  </si>
  <si>
    <t>REBOCO COM ARGAMASSA, TRAÇO 1:2:9 (CIMENTO, CAL E AREIA), COM ADITIVO IMPERMEABILIZANTE, ESP. 20MM, APLICAÇÃO MANUAL, PREPARO MECÂNICO</t>
  </si>
  <si>
    <t>EMBOÇO COM ARGAMASSA, TRAÇO 1:6 (CIMENTO E AREIA), ESP. 20MM, APLICAÇÃO MANUAL, PREPARO MECÂNICO</t>
  </si>
  <si>
    <t>CHAPISCO COM ARGAMASSA, TRAÇO 1:3 (CIMENTO E AREIA), ESP. 5MM, APLICADO EM ALVENARIA/ESTRUTURA DE CONCRETO COM COLHER, PREPARO MECÂNICO</t>
  </si>
  <si>
    <t>DEM-SOL-005</t>
  </si>
  <si>
    <t>DML E DEPÓSITO</t>
  </si>
  <si>
    <t>Total</t>
  </si>
  <si>
    <t>WC. MASC.</t>
  </si>
  <si>
    <t>WC. FEM.</t>
  </si>
  <si>
    <t xml:space="preserve"> + CORTINEIRO</t>
  </si>
  <si>
    <t xml:space="preserve"> + CORTINEIROS</t>
  </si>
  <si>
    <t>ENTRADA PRINCIPAL</t>
  </si>
  <si>
    <t xml:space="preserve"> INSTALAÇÕES INICIAIS DA OBRA / LOCAÇÃO</t>
  </si>
  <si>
    <t>ALVENARIAS</t>
  </si>
  <si>
    <t>REVESTIMENTOS INT. E EXT.</t>
  </si>
  <si>
    <t>PISOS</t>
  </si>
  <si>
    <t>PINTURA</t>
  </si>
  <si>
    <t>FORROS</t>
  </si>
  <si>
    <t>COMPACTAÇÃO MANUAL DE ATERROS</t>
  </si>
  <si>
    <t>SPOT 5W LED REDONDO DIRECIONÁVEL TETO LUZ QUENTE</t>
  </si>
  <si>
    <t>ELE-DIS-062</t>
  </si>
  <si>
    <t>BANCADA EM GRANITO</t>
  </si>
  <si>
    <t>QUADRO DE DISTRIBUIÇÃO PARA 20 MÓDULOS COM BARRAMENTO 100 A</t>
  </si>
  <si>
    <t>ELE-QUA-010</t>
  </si>
  <si>
    <t>Mais 10%</t>
  </si>
  <si>
    <t>*RETIRANDO A ÁREA DA RAMPA= 0,72 M²</t>
  </si>
  <si>
    <t>*RETIRANDO A ÁREA DA RAMPA= 1,37 M²</t>
  </si>
  <si>
    <t>ÁREA MULTIUSO</t>
  </si>
  <si>
    <t>LATERAL RAMPA</t>
  </si>
  <si>
    <t>TOTAL =</t>
  </si>
  <si>
    <t>RETIRADA DE SOLEIRA DE GRANITO</t>
  </si>
  <si>
    <t>DEM-REV-010</t>
  </si>
  <si>
    <t>RAMPA(SALA DE APOIO AO PALCO)</t>
  </si>
  <si>
    <t>PISO DA ENTRADA</t>
  </si>
  <si>
    <t>RAMPA E PATAMAR</t>
  </si>
  <si>
    <t>PATAMAR</t>
  </si>
  <si>
    <t>ATERRO</t>
  </si>
  <si>
    <t>LATERAL RAMPA E PATAMAR</t>
  </si>
  <si>
    <t>*VIGA</t>
  </si>
  <si>
    <t>DEMOLIÇÃO DE REVESTIMENTO (PISO EM PORCELANATO EXISTENTE NA SALA DE APOIO AO PALCO)</t>
  </si>
  <si>
    <t>2.1</t>
  </si>
  <si>
    <t>2.3</t>
  </si>
  <si>
    <t>2.4</t>
  </si>
  <si>
    <t>2.5</t>
  </si>
  <si>
    <t>2.6</t>
  </si>
  <si>
    <t xml:space="preserve">PISO EM CONCRETO FCK = 13,5 MPA, E = 8 CM, ACABAMENTO SARRAFEADO, PARA ÁREA EXTERNA (ENTRADA PRINCIPAL) </t>
  </si>
  <si>
    <t>LUMINÁRIA PLAFON 30 X120 LED, EMBUTIR, 48 W, BRANCO FRIO</t>
  </si>
  <si>
    <t>EXAUSTOR PARA BANHEIRO COM SAÍDA ÚNICA (FORNECIMENTO E INSTALAÇÃO)</t>
  </si>
  <si>
    <t>CUBA DE LOUÇA BRANCA DE SOBREPOR, FORMATO OVAL, INCLUSIVE VÁLVULA DE ESCOAMENTO DE METAL COM ACABAMENTO CROMADO, SIFÃO DE METAL TIPO COPO COM ACABAMENTO CROMADO, FORNECIMENTO E INSTALAÇÃO</t>
  </si>
  <si>
    <t xml:space="preserve">JANELA EM ALUMÍNIO COM PINTURA PRETA, VIDRO INCOLOR 8 MM NA MEDIDA DE 2,00 DE COMPRIMENTO E 0,50 M DE ALTURA. FORNECIMENTO E INSTALAÇÃO </t>
  </si>
  <si>
    <t>3.1</t>
  </si>
  <si>
    <t>3.2</t>
  </si>
  <si>
    <t>3.3</t>
  </si>
  <si>
    <t>4.1</t>
  </si>
  <si>
    <t>5.1</t>
  </si>
  <si>
    <t>6.1</t>
  </si>
  <si>
    <t>6.2</t>
  </si>
  <si>
    <t>6.3</t>
  </si>
  <si>
    <t>8.1</t>
  </si>
  <si>
    <t>11.1</t>
  </si>
  <si>
    <t>11.2</t>
  </si>
  <si>
    <t>11.3</t>
  </si>
  <si>
    <t>11.4</t>
  </si>
  <si>
    <t>11.5</t>
  </si>
  <si>
    <t>11.6</t>
  </si>
  <si>
    <t>12.2</t>
  </si>
  <si>
    <t>13.4</t>
  </si>
  <si>
    <t>13.5</t>
  </si>
  <si>
    <t>13.6</t>
  </si>
  <si>
    <t>13.7</t>
  </si>
  <si>
    <t>13.8</t>
  </si>
  <si>
    <t>13.9</t>
  </si>
  <si>
    <t>14.2</t>
  </si>
  <si>
    <t>14.3</t>
  </si>
  <si>
    <t>14.4</t>
  </si>
  <si>
    <t>14.5</t>
  </si>
  <si>
    <t>14.6</t>
  </si>
  <si>
    <t>15.1</t>
  </si>
  <si>
    <t>RAMPA GARAGEM</t>
  </si>
  <si>
    <t>PONTO DE EMBUTIR SECO (PARA EXAUSTOR)</t>
  </si>
  <si>
    <t>*VIGAS</t>
  </si>
  <si>
    <t>FORRO DE GESSO EM PLACAS ACARTONADAS - FGA</t>
  </si>
  <si>
    <t>INSTALAÇÕES HIDROSSANITÁRIAS</t>
  </si>
  <si>
    <t>LAJE PRÉ-MOLDADA</t>
  </si>
  <si>
    <t>LAJE PRÉ-MOLDADA, A REVESTIR, INCLUSIVE CAPEAMENTO E = 4 CM, SC = 100 KG/M2, L = 5,00 M</t>
  </si>
  <si>
    <t>LAJ-REV-015</t>
  </si>
  <si>
    <t>4) LAJE PRÉ-MOLDADA</t>
  </si>
  <si>
    <t>DISJUNTOR TRIPOLAR TERMOMAGNÉTICO 10KA, DE 50A</t>
  </si>
  <si>
    <t>ELE-DIS-042</t>
  </si>
  <si>
    <t>DISJUNTOR MONOPOLAR TERMOMAGNÉTICO 5KA, DE 16A</t>
  </si>
  <si>
    <t>ELE-DIS-007</t>
  </si>
  <si>
    <t>DISJUNTOR BIPOLAR TERMOMAGNÉTICO 5KA, DE 16A (PARA AR-CONDICIONADO)</t>
  </si>
  <si>
    <t>DISJUNTOR BIPOLAR TERMOMAGNÉTICO 5KA, DE 35A (PARA AR-CONDICIONADO)</t>
  </si>
  <si>
    <t>ELE-DIS-067</t>
  </si>
  <si>
    <t>DISJUNTOR MONOPOLAR TERMOMAGNÉTICO 5KA, DE 20A</t>
  </si>
  <si>
    <t>ELE-DIS-008</t>
  </si>
  <si>
    <t>SPOT DE LED REDONDO DE EMBUTIR, NA COR BRANCA, LÂMPADA PAR20 7W</t>
  </si>
  <si>
    <t>ELE-CAB-255</t>
  </si>
  <si>
    <t xml:space="preserve">CABO DE COBRE FLEXÍVEL, CLASSE 5, ISOLAMENTO TIPO LSHF/ATOX, NÃO HALOGENADO, ANTICHAMA, TERMOPLÁSTICO, UNIPOLAR, SEÇÃO 16 MM2, 70°C, 450/750V </t>
  </si>
  <si>
    <t>COR</t>
  </si>
  <si>
    <t>PRETO</t>
  </si>
  <si>
    <t>VERDE</t>
  </si>
  <si>
    <t>AZUL</t>
  </si>
  <si>
    <t>M³</t>
  </si>
  <si>
    <t>PRAZO DE EXECUÇÃO: 03 MESES</t>
  </si>
  <si>
    <t>ALV-BLO-040</t>
  </si>
  <si>
    <t>ARM-AÇO-015</t>
  </si>
  <si>
    <t>Metro</t>
  </si>
  <si>
    <t xml:space="preserve"> RAMPA E PATAMAR</t>
  </si>
  <si>
    <t>ESTRUTURA DO PALCO</t>
  </si>
  <si>
    <t>ESTRUTURA RAMPA(SALA DE APOIO AO PALCO)</t>
  </si>
  <si>
    <t>TOTAL</t>
  </si>
  <si>
    <t>VALOR UNITÁRIO</t>
  </si>
  <si>
    <t>SUB-TOTAL =</t>
  </si>
  <si>
    <t>ARMAÇÃO EM AÇO</t>
  </si>
  <si>
    <t>2.3)  REMOÇÃO DE PORTA OU JANELA INCLUSIVE MARCO E ALIZAR, INCLUSIVE AFASTAMENTO E EMPILHAMENTO:</t>
  </si>
  <si>
    <t>2.4)  REMOÇÃO DE LUMINÁRIA FLUORESCENTE:</t>
  </si>
  <si>
    <t>2.5)  RETIRADA DE SOLEIRA DE MÁRMORE OU GRANITO:</t>
  </si>
  <si>
    <t>2.6) DEMOLIÇÃO DE REVESTIMENTO (PISO EM PORCELANATO EXISTENTE NA SALA DE APOIO AO PALCO:</t>
  </si>
  <si>
    <t>4.1) LAJE PRÉ-MOLDADA, A REVESTIR, INCLUSIVE CAPEAMENTO E = 4 CM, SC = 100 KG/M2, L = 5,00 M:</t>
  </si>
  <si>
    <t>5) ARMAÇÃO EM AÇO</t>
  </si>
  <si>
    <t>5.1) CORTE, DOBRA E MONTAGEM DE AÇO CA-60 DIÂMETRO (4,2MM A 5,0MM):</t>
  </si>
  <si>
    <t>6) REVESTIMENTOS INT. E EXT.</t>
  </si>
  <si>
    <t>6.1) CHAPISCO COM ARGAMASSA, TRAÇO 1:3:</t>
  </si>
  <si>
    <t>6.2) EMBOÇO COM ARGAMASSA, TRAÇO 1:6:</t>
  </si>
  <si>
    <t>6.3) REBOCO COM ARGAMASSA, TRAÇO 1:2:9 (CIMENTO, CAL E AREIA), COM ADITIVO IMPERMEABILIZANTE, ESP. 20MM, APLICAÇÃO MANUAL, PREPARO MECÂNICO:</t>
  </si>
  <si>
    <t>6.4) REBOCO COM ARGAMASSA, TRAÇO 1:7 (CIMENTO E AREIA), ESP. 20MM, APLICAÇÃO MANUAL, PREPARO MECÂNICO:</t>
  </si>
  <si>
    <t>7) ATERRO</t>
  </si>
  <si>
    <t>7.1) COMPACTAÇÃO MANUAL DE ATERROS:</t>
  </si>
  <si>
    <t>8) PISOS</t>
  </si>
  <si>
    <t>8.1) CONTRAPISO DESEMPENADO COM ARGAMASSA, TRAÇO 1:3 (CIMENTO E AREIA),
ESP. 50MM:</t>
  </si>
  <si>
    <t>6.4</t>
  </si>
  <si>
    <t>KG</t>
  </si>
  <si>
    <t>CORTE, DOBRA E MONTAGEM DE AÇO CA-60 DIÂMETRO (5,0MM)</t>
  </si>
  <si>
    <t>PASSEIOS DE CONCRETO E = 6 CM, FCK = 10 MPA, JUNTA SECA</t>
  </si>
  <si>
    <t>URB-PAS-006</t>
  </si>
  <si>
    <t>ALVENARIA ESTRUTURAL COM BLOCO DE CONCRETO, ESP. 15 CM, (FBK 4,5MPA), PARA REVESTIMENTO, INCLUSIVE ARGAMASSA PARA ASSENTAMENTO</t>
  </si>
  <si>
    <t>ALVENARIA DE VEDAÇÃO COM TIJOLO CERÂMICO FURADO, ESP. 10 CM, PARA
REVESTIMENTO, INCLUSIVE ARGAMASSA PARA ASSENTAMENTO</t>
  </si>
  <si>
    <t>3.3)  ALVENARIA ESTRUTURAL COM BLOCO DE CONCRETO, ESP. 15 CM, (FBK 4,5MPA), PARA REVESTIMENTO, INCLUSIVE ARGAMASSA PARA ASSENTAMENTO</t>
  </si>
  <si>
    <t>3.2)  ALVENARIA TIJOLO CERÂMICO ESP. 10 CM (PAREDES) :</t>
  </si>
  <si>
    <t>3.1)  ALVENARIA TIJOLO CERÂMICO ESP. 15 CM (PAREDES) :</t>
  </si>
  <si>
    <t>ALVENARIA DE VEDAÇÃO COM TIJOLO CERÂMICO FURADO, ESP. 15 CM, PARA REVESTIMENTO, INCLUSIVE ARGAMASSA PARA ASSENTAMENTO</t>
  </si>
  <si>
    <t>INSTALAÇÕES ELÉTRICAS</t>
  </si>
  <si>
    <t>8.4</t>
  </si>
  <si>
    <t>13.3</t>
  </si>
  <si>
    <t>16.2</t>
  </si>
  <si>
    <t>16.3</t>
  </si>
  <si>
    <t>16.4</t>
  </si>
  <si>
    <t>17.1</t>
  </si>
  <si>
    <t>17.2</t>
  </si>
  <si>
    <t>17.3</t>
  </si>
  <si>
    <t>Folha nº 01/01</t>
  </si>
  <si>
    <r>
      <rPr>
        <b/>
        <sz val="8"/>
        <rFont val="Arial"/>
        <family val="2"/>
      </rPr>
      <t>Região/Mês de referência:</t>
    </r>
    <r>
      <rPr>
        <sz val="8"/>
        <rFont val="Arial"/>
        <family val="2"/>
      </rPr>
      <t xml:space="preserve"> SETOP REGIÃO LESTE ABRIL/2021 E SINAPI AGOSTO/2021 PREÇO DE CUSTO COM DESONERAÇÃO FISCAL - LEI 12.546/2011 e 12.844/2013</t>
    </r>
  </si>
  <si>
    <r>
      <rPr>
        <b/>
        <sz val="8"/>
        <rFont val="Arial"/>
        <family val="2"/>
      </rPr>
      <t>Local:</t>
    </r>
    <r>
      <rPr>
        <sz val="8"/>
        <rFont val="Arial"/>
        <family val="2"/>
      </rPr>
      <t xml:space="preserve"> Rua Jacinto Eugenio, nº 35,Centro, Pedro Teixeira/MG</t>
    </r>
  </si>
  <si>
    <t>Forma de execução:</t>
  </si>
  <si>
    <t>(  ) DIRETA</t>
  </si>
  <si>
    <t>( X ) INDIRETA BDI=22%</t>
  </si>
  <si>
    <t xml:space="preserve">PREÇO COM BDI  </t>
  </si>
  <si>
    <t xml:space="preserve">PREÇO SEM BDI                   </t>
  </si>
  <si>
    <t>CÓDIGO</t>
  </si>
  <si>
    <t>DESCRIÇÃO</t>
  </si>
  <si>
    <r>
      <rPr>
        <sz val="8"/>
        <rFont val="Arial MT"/>
        <family val="2"/>
      </rPr>
      <t>UNID</t>
    </r>
  </si>
  <si>
    <r>
      <rPr>
        <sz val="8"/>
        <rFont val="Arial MT"/>
        <family val="2"/>
      </rPr>
      <t>QUANT</t>
    </r>
  </si>
  <si>
    <r>
      <rPr>
        <sz val="8"/>
        <rFont val="Arial MT"/>
        <family val="2"/>
      </rPr>
      <t>M²</t>
    </r>
  </si>
  <si>
    <t>CONTRAPISO DESEMPENADO COM ARGAMASSA, TRAÇO 1:3 (CIMENTO E AREIA),
ESP. 50MM</t>
  </si>
  <si>
    <r>
      <rPr>
        <sz val="8"/>
        <rFont val="Arial MT"/>
        <family val="2"/>
      </rPr>
      <t>PIN-EMA-031</t>
    </r>
  </si>
  <si>
    <t>EMASSAMENTO EM FORRO DE GESSO COM MASSA CORRIDA (PVA), UMA (1)
DEMÃO, INCLUSIVE LIXAMENTO PARA PINTURA</t>
  </si>
  <si>
    <r>
      <rPr>
        <sz val="8"/>
        <rFont val="Arial MT"/>
        <family val="2"/>
      </rPr>
      <t>PIN-EMA-013</t>
    </r>
  </si>
  <si>
    <r>
      <rPr>
        <sz val="8"/>
        <rFont val="Arial MT"/>
        <family val="2"/>
      </rPr>
      <t>CJ</t>
    </r>
  </si>
  <si>
    <r>
      <rPr>
        <sz val="8"/>
        <rFont val="Arial MT"/>
        <family val="2"/>
      </rPr>
      <t>-</t>
    </r>
  </si>
  <si>
    <t>LUMINÁRIA ARANDELA TIPO MEIA-LUA COMPLETA, DIÂMETRO 25 CM, PARA UMA
(1) LÂMPADA LED, POTÊNCIA 9W, BULBO A60, FORNECIMENTO E INSTALAÇÃO, INCLUSIVE BASE E LÂMPADA</t>
  </si>
  <si>
    <r>
      <rPr>
        <sz val="8"/>
        <rFont val="Arial MT"/>
        <family val="2"/>
      </rPr>
      <t>MET-TOR-030</t>
    </r>
  </si>
  <si>
    <t>TORNEIRA METÁLICA PARA LAVATÓRIO, FECHAMENTO AUTOMÁTICO, ACABAMENTO CROMADO, COM AREJADOR, APLICAÇÃO DE MESA, INCLUSIVE
ENGATE FLEXÍVEL METÁLICO, FORNECIMENTO E INSTALAÇÃO</t>
  </si>
  <si>
    <r>
      <rPr>
        <sz val="8"/>
        <rFont val="Arial MT"/>
        <family val="2"/>
      </rPr>
      <t>MET-TOR-040</t>
    </r>
  </si>
  <si>
    <r>
      <rPr>
        <b/>
        <sz val="8"/>
        <rFont val="Arial"/>
        <family val="2"/>
      </rPr>
      <t xml:space="preserve">Obra: </t>
    </r>
    <r>
      <rPr>
        <sz val="8"/>
        <rFont val="Arial"/>
        <family val="2"/>
      </rPr>
      <t>Construção da Área Multiuso da Câmara Municipal de Pedro Teixeira e rampa de acesso para a Entrada Principal.</t>
    </r>
  </si>
  <si>
    <t>OBRA: Construção da Área Multiuso da Câmara Municipal de Pedro Teixeira e rampa de acesso para a Entrada Principal.</t>
  </si>
  <si>
    <t>8.2) CONTRAPISO DESEMPENADO COM ARGAMASSA, TRAÇO 1:3 (CIMENTO E AREIA), ESP. 30MM:</t>
  </si>
  <si>
    <t>8.3) PISO EM CONCRETO FCK = 13,5 MPA, E = 8 CM, ACABAMENTO SARRAFEADO, PARA ÁREA EXTERNA(ENTRADA PRINCIPAL) :</t>
  </si>
  <si>
    <t>8.4) PASSEIOS DE CONCRETO E = 6 CM, FCK = 10 MPA, JUNTA SECA:</t>
  </si>
  <si>
    <t>9) FORRO:</t>
  </si>
  <si>
    <t>10) EXAUSTOR:</t>
  </si>
  <si>
    <t>10.1) EXAUSTOR PARA BANHEIRO COM SAÍDA ÚNICA (FORNECIMENTO E INSTALAÇÃO):</t>
  </si>
  <si>
    <t>11) PINTURA:</t>
  </si>
  <si>
    <t>11.1) EMASSAMENTO EM FORRO DE GESSO COM MASSA CORRIDA (PVA), UMA (1) DEMÃO, INCLUSIVE LIXAMENTO PARA PINTURA:</t>
  </si>
  <si>
    <t>11.2) EMASSAMENTO EM TETO COM MASSA CORRIDA (PVA), DUAS (2) DEMÃOS, INCLUSIVE LIXAMENTO PARA PINTURA:</t>
  </si>
  <si>
    <t>11.3) PREPARAÇÃO PARA EMASSAMENTO OU PINTURA (LÁTEX/ACRÍLICA) EM PAREDE, INCLUSIVE UMA (1) DEMÃO DE SELADOR ACRÍLICO:</t>
  </si>
  <si>
    <t>11.4) PINTURA ACRÍLICA EM PAREDE, DUAS (2) DEMÃOS, EXCLUSIVE SELADOR ACRÍLICO E MASSA ACRÍLICA/CORRIDA (PVA):</t>
  </si>
  <si>
    <t>Idem ao item 11.3 =</t>
  </si>
  <si>
    <t>11.5) PINTURA ACRÍLICA EM TETO, DUAS (2) DEMÃOS, EXCLUSIVE SELADOR ACRÍLICO E MASSA ACRÍLICA/CORRIDA (PVA):</t>
  </si>
  <si>
    <t>11.6) PINTURA COM TEXTURA ACRÍLICA COM ROLO, INCLUSIVE UMA (1) DEMÃO DE SELADOR ACRÍLICO:</t>
  </si>
  <si>
    <t>12) SOLEIRA E PEITORIL:</t>
  </si>
  <si>
    <t>12.1) PEITORIL DE GRANITO E=2 CM (DE ACORDO COM EXISTENTE):</t>
  </si>
  <si>
    <t>12.2) SOLEIRA DE GRANITO E=2 CM (DE ACORDO COM EXISTENTE):</t>
  </si>
  <si>
    <t>13) ESQUADRIA DE MADEIRA:</t>
  </si>
  <si>
    <t>13.1) FOLHA DE PORTA MADEIRA DE LEI PRANCHETA PARA PINTURA 60 X 210 CM:</t>
  </si>
  <si>
    <t>13.2) FOLHA DE PORTA MADEIRA DE LEI PRANCHETA PARA PINTURA 90 X 210 CM:</t>
  </si>
  <si>
    <t>13.3) MARCO EM MADEIRA DE LEI PARA PINTURA, L = 14 CM, 90 X 210 CM:</t>
  </si>
  <si>
    <t>13.4) PORTA EM MADEIRA DE LEI ESPECIAL COMPLETA 90 X 210 CM, PARA PINTURA, PARA P.N.E., COM PROTEÇÃO INFERIOR EM LAMINADO MELAMÍNICO, INCLUSIVE FERRAGENS E MAÇANETA TIPO ALAVANCA (P2)</t>
  </si>
  <si>
    <t>13.5) RÉGUA PARA ALISARES DE 7 X 1 CM DE MADEIRA DE LEI PARA PINTURA COLOCADO:</t>
  </si>
  <si>
    <t>13.7) EMASSAMENTO DE ESQUADRIA DE MADEIRA COM MASSA CORRIDA COM
DUAS DEMÃOS, PARA PINTURA A ÓLEO OU ESMALTE:</t>
  </si>
  <si>
    <t>13.6) MARCO DE MADEIRA DE LEI PARA PINTURA, L = 14 CM, 60 X 210 CM:</t>
  </si>
  <si>
    <t>13.8) PINTURA ESMALTE EM ESQUADRIA DE MADEIRA, DUAS (2) DEMÃOS, INCLUSIVE UMA (1) DEMÃO DE FUNDO NIVELADOR, EXCLUSIVE MASSA A ÓLEO</t>
  </si>
  <si>
    <t>Idem ao item 13.7  =</t>
  </si>
  <si>
    <t>13.9) PINTURA COM VERNIZ SINTÉTICO MARÍTIMO EM ESQUADRIAS DE MADEIRA, DUAS (2) DEMÃOS, ACABAMENTO TIPO ACETINADO (BRILHO SÚTIL):</t>
  </si>
  <si>
    <t>14) INSTALAÇÕES HIDROSSANITÁRIAS:</t>
  </si>
  <si>
    <t>14.1) RALO SIFONADO PVC CILINDRÍCO 100 X 70 X 40 MM COM GRELHA REDONDA:</t>
  </si>
  <si>
    <t>14.2) RALO SECO PVC CÔNICO 100 X 40 MM COM GRELHA REDONDA:</t>
  </si>
  <si>
    <t>14.3) PONTO DE ÁGUA FRIA EMBUTIDO, INCLUINDO TUBO DE PVC RÍGIDO SOLDÁVEL E CONEXÕES:</t>
  </si>
  <si>
    <t>14.4) PONTO DE ESGOTO, INCLUINDO TUBO DE PVC RÍGIDO SOLDÁVEL DE 100 MM E CONEXÕES (VASO SANITÁRIO):</t>
  </si>
  <si>
    <t>14.5) PONTO DE ESGOTO, INCLUINDO TUBO DE PVC RÍGIDO SOLDÁVEL DE 40 MM E CONEXÕES (LAVATÓRIOS, MICTÓRIOS, RALOS SIFONADOS, ETC.):</t>
  </si>
  <si>
    <t>14.6) PONTO DE ESGOTO, INCLUINDO TUBO DE PVC RÍGIDO SOLDÁVEL DE 50 MM E CONEXÕES (PIAS DE COZINHA, MÁQUINAS DE LAVAR, ETC.):</t>
  </si>
  <si>
    <t>15) INSTALAÇÕES ELÉTRICAS:</t>
  </si>
  <si>
    <t>15.1) PONTO DE TOMADA DE EMBUTIR, INCLUINDO ELETRODUTO DE PVC RÍGIDO E CAIXA C/ ESPELHO:</t>
  </si>
  <si>
    <t>15.2) PONTO DE INTERRUPTOR, INCLUINDO ELETRODUTO DE PVC RÍGIDO E CAIXA C/ESPELHO:</t>
  </si>
  <si>
    <t>15.3) PONTO DE LUZ EMBUTIDO, INCLUINDO ELETRODUTO DE PVC RÍGIDO E CAIXA C/ESPELHO (POR UNID):</t>
  </si>
  <si>
    <t>15.4) PONTO DE LUZ EMBUTIDO, INCLUINDO ELETRODUTO DE PVC RÍGIDO E CAIXA COM ESPELHO (ARANDELAS):</t>
  </si>
  <si>
    <t>15.5) LUMINÁRIA TIPO DROPS COM BASE SUPORTE GALVANIZADA E GLOBO LEITOSO COMPLETA, PARA UMA (1) LÂMPADA LED, POTÊNCIA 15W, BULBO A65, FORNECIMENTO E INSTALAÇÃO, INCLUSIVE BASE E LÂMPADA:</t>
  </si>
  <si>
    <t>15.6) LUMINÁRIA ARANDELA TIPO MEIA-LUA COMPLETA, DIÂMETRO 25 CM, PARA UMA (1) LÂMPADA LED, POTÊNCIA 9W, BULBO A60, FORNECIMENTO E INSTALAÇÃO, INCLUSIVE BASE E LÂMPADA:</t>
  </si>
  <si>
    <t>15.8) PONTO DE EMBUTIR SECO (PARA EXAUSTOR):</t>
  </si>
  <si>
    <t>15.7) SENSOR DE PRESENÇA COM FOTOCÉLULA, FIXAÇÃO EM PAREDE - FORNECIMENTO E INSTALAÇÃO:</t>
  </si>
  <si>
    <t>15.9) PONTO DE EMBUTIR SECO (PARA CAIXA DE SOM):</t>
  </si>
  <si>
    <t>15.10) PONTO DE EMBUTIR SECO (PARA SENSOR DE PRESENÇA):</t>
  </si>
  <si>
    <t>15.11) LUMINÁRIA PLAFON 30 X120 LED, EMBUTIR, BRANCO FRIO:</t>
  </si>
  <si>
    <t>15.12) SPOT DE LED REDONDO DE EMBUTIR, NA COR BRANCA, LÂMPADA PAR20:</t>
  </si>
  <si>
    <t>15.13) SPOT 5W SMD LED REDONDO DIRECIONÁVEL TETO LUZ QUENTE:</t>
  </si>
  <si>
    <t>15.14) PLAFON DE LED DE EMBUTIR, NA COR BRANCA, 24W – BRANCO FRIO. DIMENSÕES: 40CM X 40CM:</t>
  </si>
  <si>
    <t>15.15) PLAFON DE LED DE EMBUTIR, NA COR BRANCA, 18W – BRANCO FRIO.DIMENSÕES: 30CM X 30CM:</t>
  </si>
  <si>
    <t>15.16) TRILHO ELETRIFICADO 1M PRETO:</t>
  </si>
  <si>
    <t>15.17) SPOTS 7W BRANCO QUENTE - NA COR PRETA:</t>
  </si>
  <si>
    <t>15.19) DISJUNTOR TRIPOLAR TERMOMAGNÉTICO 10KA, DE 50A:</t>
  </si>
  <si>
    <t>15.20) DISJUNTOR MONOPOLAR  TERMOMAGNÉTICO 5KA, DE 20A:</t>
  </si>
  <si>
    <t>15.21) DISJUNTOR MONOPOLAR TERMOMAGNÉTICO 5KA, DE 16A:</t>
  </si>
  <si>
    <t>15.22) DISJUNTOR BIPOLAR TERMOMAGNÉTICO 5KA, DE 16A (PARA AR-CONDICIONADO):</t>
  </si>
  <si>
    <t>15.23) DISJUNTOR BIPOLAR TERMOMAGNÉTICO 5KA, DE 35A (PARA AR-CONDICIONADO):</t>
  </si>
  <si>
    <t>15.24) QUADRO DE DISTRIBUIÇÃO PARA 20 MÓDULOS COM BARRAMENTO 100 A:</t>
  </si>
  <si>
    <t>15.25) CABO DE COBRE FLEXÍVEL, CLASSE 5, ISOLAMENTO TIPO LSHF/ATOX, NÃO HALOGENADO, ANTICHAMA, TERMOPLÁSTICO, UNIPOLAR, SEÇÃO 16 MM2, 70°C, 450/750V :</t>
  </si>
  <si>
    <t>16) REVESTIMENTO PISO E PAREDE</t>
  </si>
  <si>
    <t>16.1) REVESTIMENTO C/ PORCELANATO 60 X 60 CM, EXTRA, ASSENTADO EM PISO C/ ARGAMASSA PRÉ-FABRICADA, INCLUS. REJUNTAMENTO E=2MM (DE ACORDO COM ESPECIFICADO):</t>
  </si>
  <si>
    <t>16.2) REVESTIMENTO C/ PORCELANATO 70 X 70 CM, EXTRA, ASSENTADO EM PISO C/ ARGAMASSA PRÉ-FABRICADA, INCLUS. REJUNTAMENTO E=2MM (DE ACORDO COM ESPECIFICADO):</t>
  </si>
  <si>
    <t>16.3) REVESTIMENTO C/ PORCELANATO 70 X 70 CM, EXTRA, ASSENTADO EM PISO C/ ARGAMASSA PRÉ-FABRICADA, INCLUS. REJUNTAMENTO E=2MM (DE ACORDO COM ESPECIFICADO) (RODAPÉ):</t>
  </si>
  <si>
    <t>16.4) REVESTIMENTO COM CERÂMICA APLICADO EM PAREDE:</t>
  </si>
  <si>
    <t>17) LOUÇAS E METAIS:</t>
  </si>
  <si>
    <t>17.1) BACIA SANITÁRIA (VASO) DE LOUÇA COM CAIXA ACOPLADA, COR BRANCA, INCLUSIVE ACESSÓRIOS DE FIXAÇÃO/VEDAÇÃO, ENGATE FLEXÍVEL METÁLICO, FORNECIMENTO, INSTALAÇÃO E REJUNTAMENTO:</t>
  </si>
  <si>
    <t>17.2) CUBA DE LOUÇA BRANCA DE SOBREPOR, FORMATO OVAL, INCLUSIVE VÁLVULA DE ESCOAMENTO DE METAL COM ACABAMENTO CROMADO, SIFÃO DE METAL TIPO COPO COM ACABAMENTO CROMADO, FORNECIMENTO E INSTALAÇÃO:</t>
  </si>
  <si>
    <t>17.3) TANQUE DE MÁRMORE SINTÉTICO SIMPLES, CAPACIDADE 20 LITROS, INCLUSIVE ACESSÓRIOS DE FIXAÇÃO, VÁLVULA DE ESCOAMENTO DE METAL COM ACABAMENTO CROMADO, SIFÃO DE METAL TIPO COPO COM ACABAMENTO CROMADO, FORNECIMENTO E INSTALAÇÃO, EXCLUSIVE TORNEIRA:</t>
  </si>
  <si>
    <t>17.4) TORNEIRA METÁLICA PARA LAVATÓRIO, FECHAMENTO AUTOMÁTICO, ACABAMENTO CROMADO, COM AREJADOR, APLICAÇÃO DE MESA, INCLUSIVE ENGATE FLEXÍVEL METÁLICO, FORNECIMENTO E INSTALAÇÃO:</t>
  </si>
  <si>
    <t>17.5) TORNEIRA METÁLICA PARA TANQUE, ACABAMENTO CROMADO, INCLUSIVE ENGATE FLEXÍVEL METÁLICO, FORNECIMENTO E INSTALAÇÃO:</t>
  </si>
  <si>
    <t>17.6) REGISTRO DE GAVETA, TIPO BASE, ROSCÁVEL 1" (PARA TUBO SOLDÁVEL OU PPR DN 32MM/CPVC DN 28MM), INCLUSIVE ACABAMENTO (PADRÃO MÉDIO) E CANOPLA CROMADOS:</t>
  </si>
  <si>
    <t>18) BANCADA EM GRANITO:</t>
  </si>
  <si>
    <t>18.1) RODABANCADA EM GRANITO (DE ACORDO COM EXISTENTE) H = 7 CM, E = 2 CM:</t>
  </si>
  <si>
    <t>18.2) TESTEIRA EM GRANITO (DE ACORDO COM EXISTENTE) :</t>
  </si>
  <si>
    <t>18.3) BANCADA EM GRANITO (DE ACORDO COM EXISTENTE):</t>
  </si>
  <si>
    <t>17.4</t>
  </si>
  <si>
    <t>17.5</t>
  </si>
  <si>
    <t>17.6</t>
  </si>
  <si>
    <t>18.1</t>
  </si>
  <si>
    <t>18.2</t>
  </si>
  <si>
    <t>18.3</t>
  </si>
  <si>
    <t>19.1</t>
  </si>
  <si>
    <t>19.2</t>
  </si>
  <si>
    <t>19.3</t>
  </si>
  <si>
    <t>20.1</t>
  </si>
  <si>
    <t>20.2</t>
  </si>
  <si>
    <t>21.1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</si>
  <si>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</si>
  <si>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</si>
  <si>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</si>
  <si>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</si>
  <si>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</si>
  <si>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</si>
  <si>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</si>
  <si>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</si>
  <si>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</si>
  <si>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</si>
  <si>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</si>
  <si>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</si>
  <si>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</si>
  <si>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</si>
  <si>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</si>
  <si>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</si>
  <si>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</si>
  <si>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</si>
  <si>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</si>
  <si>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</si>
  <si>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</si>
  <si>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</si>
  <si>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</si>
  <si>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</si>
  <si>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16.1</t>
  </si>
  <si>
    <t>LOCAL: Rua Jacinto Eugenio, nº 35,Centro, Pedro Teixeira/MG</t>
  </si>
  <si>
    <t>Obs: O cálculo de revestimentos da escada para subir ao palco está inclusa no ambiente Palco.</t>
  </si>
  <si>
    <t xml:space="preserve">  </t>
  </si>
  <si>
    <t>INSTALAÇÃO E FORNECIEMENTO DAS PARTES PARA INSTALAÇÃO DE AR CONDICIONADO</t>
  </si>
  <si>
    <t>19) FERRAGENS:</t>
  </si>
  <si>
    <t>19.1) DOBRADIÇA DE FERRO CROMADA 3 1/2" X 2 1/2":</t>
  </si>
  <si>
    <t>19.2) FECHADURA TIPO EXTERNA, GRAU DE SEGURANÇA MÉDIO, MÁQUINA 40MM, ACABAMENTO COM ESPELHO CROMADO E MAÇANETA MODELO ALAVANCA EM ZAMAC, INCLUSIVE ACESSÓRIOS PARA FIXAÇÃO E DUAS (2) CHAVES:</t>
  </si>
  <si>
    <t>19.3) FECHADURA TIPO INTERNA (GORGE), GRAU DE SEGURANÇA MÉDIO, MÁQUINA 40MM, ACABAMENTO COM ESPELHO CROMADO E MAÇANETA MODELO ALAVANCA EM ZAMAC, INCLUSIVE ACESSÓRIOS PARA FIXAÇÃO E DUAS (2) CHAVES:</t>
  </si>
  <si>
    <t>20) JANELAS:</t>
  </si>
  <si>
    <t>20.1) JANELA EM ALUMÍNIO COM PINTURA PRETA, VIDRO INCOLOR 8 MM NA MEDIDA DE 2,00 DE COMPRIMENTO E 0,50 M DE ALTURA.FORNECIMENTO E INSTALAÇÃO:</t>
  </si>
  <si>
    <t>20.2) JANELA EM ALUMÍNIO COM PINTURA PRETA, VIDRO INCOLOR 8 MM NA MEDIDA DE 2,25 DE COMPRIMENTO E 0,50 M DE ALTURA.FORNECIMENTO E INSTALAÇÃO:</t>
  </si>
  <si>
    <t>21) GUARDA-CORPO:</t>
  </si>
  <si>
    <t>21.1) GUARDA-CORPO EM ALUMÍNIO BRONZE TUBULAR COM CORRIMÃO (RAMPA E PATAMAR DA ENTRADA PRINCIPAL):</t>
  </si>
  <si>
    <t>Este memorial possui 15 páginas e encerrá-se nesta data</t>
  </si>
  <si>
    <t>Data: 05/10/2021</t>
  </si>
  <si>
    <t>Pedro Teixeira, 05 de Outubro de 2021</t>
  </si>
  <si>
    <t>SÉRVIÇOS A EXECUTAR</t>
  </si>
  <si>
    <t>9.1) FORRO DE GESSO EM PLACAS ACARTONADAS - FGA:</t>
  </si>
  <si>
    <t>15.18) INSTALAÇÃO E FORNECIEMENTO DAS PARTES PARA INSTALAÇÃO DE AR CONDICIONADO:</t>
  </si>
  <si>
    <t>ANEXO C - MEMORIAL DE CÁLCULO</t>
  </si>
  <si>
    <t>identificação da proponente</t>
  </si>
  <si>
    <t>ANEXO A- MODELO DE PLANILHA ORÇAMENTÁRIA DE CUSTOS</t>
  </si>
  <si>
    <t>ANEXO B - MODELO DE CRONOGRAMA FÍSICO-FINANCEIRO</t>
  </si>
  <si>
    <t>1 - IDENTIFICAÇÃO DA PROPONENTE</t>
  </si>
  <si>
    <t xml:space="preserve">Local, data e assinatura do responsável técnico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</si>
</sst>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&quot;R$&quot;#,##0.00"/>
    <numFmt numFmtId="165" formatCode="&quot;R$&quot;#,##0.00_);\(&quot;R$&quot;#,##0.00\)"/>
    <numFmt numFmtId="166" formatCode="&quot;R$ &quot;#,##0.00"/>
    <numFmt numFmtId="167" formatCode="0.0000%"/>
  </numFmts>
  <fonts count="41">
    <font>
      <sz val="10"/>
      <color rgb="FF000000"/>
      <name val="Times New Roman"/>
      <charset val="204"/>
    </font>
    <font>
      <b/>
      <sz val="6.5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12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8"/>
      <color rgb="FF000000"/>
      <name val="Times New Roman"/>
      <family val="1"/>
    </font>
    <font>
      <sz val="8"/>
      <name val="Arial MT"/>
    </font>
    <font>
      <sz val="8"/>
      <name val="Arial MT"/>
      <family val="2"/>
    </font>
    <font>
      <sz val="8"/>
      <color rgb="FF000000"/>
      <name val="Arial MT"/>
      <family val="2"/>
    </font>
    <font>
      <b/>
      <i/>
      <sz val="11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b/>
      <sz val="8"/>
      <name val="Arial MT"/>
    </font>
    <font>
      <b/>
      <sz val="8"/>
      <color rgb="FF000000"/>
      <name val="Arial"/>
      <family val="2"/>
    </font>
    <font>
      <sz val="8"/>
      <color theme="1"/>
      <name val="Arial MT"/>
    </font>
    <font>
      <sz val="12"/>
      <color rgb="FF000000"/>
      <name val="Times New Roman"/>
      <family val="1"/>
    </font>
    <font>
      <sz val="12"/>
      <color rgb="FF000000"/>
      <name val="Arial MT"/>
      <family val="2"/>
    </font>
    <font>
      <b/>
      <sz val="12"/>
      <color rgb="FF000000"/>
      <name val="Arial MT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Times New Roman"/>
      <family val="1"/>
    </font>
    <font>
      <b/>
      <sz val="16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D9D9D9"/>
      </patternFill>
    </fill>
    <fill>
      <patternFill patternType="solid">
        <fgColor rgb="FFBEBEB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44">
    <border>
      <left/>
      <right/>
      <top/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/>
      <right/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000000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/>
      <right style="thin">
        <color rgb="FF1A1A1A"/>
      </right>
      <top style="thin">
        <color rgb="FF1A1A1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/>
      <bottom/>
      <diagonal/>
    </border>
    <border>
      <left style="thin">
        <color rgb="FF1A1A1A"/>
      </left>
      <right/>
      <top/>
      <bottom/>
      <diagonal/>
    </border>
    <border>
      <left/>
      <right style="thin">
        <color rgb="FF1A1A1A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1A1A1A"/>
      </right>
      <top/>
      <bottom/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/>
      <right style="thin">
        <color rgb="FF1A1A1A"/>
      </right>
      <top/>
      <bottom style="thin">
        <color rgb="FF1A1A1A"/>
      </bottom>
      <diagonal/>
    </border>
    <border>
      <left style="thin">
        <color rgb="FF000000"/>
      </left>
      <right style="thin">
        <color rgb="FF1A1A1A"/>
      </right>
      <top/>
      <bottom style="thin">
        <color rgb="FF1A1A1A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1A1A1A"/>
      </left>
      <right style="thin">
        <color rgb="FF1A1A1A"/>
      </right>
      <top style="thin">
        <color rgb="FF000000"/>
      </top>
      <bottom style="thin">
        <color rgb="FF000000"/>
      </bottom>
      <diagonal/>
    </border>
    <border>
      <left style="thin">
        <color rgb="FF1A1A1A"/>
      </left>
      <right style="thin">
        <color rgb="FF1A1A1A"/>
      </right>
      <top style="thin">
        <color rgb="FF000000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000000"/>
      </top>
      <bottom/>
      <diagonal/>
    </border>
    <border>
      <left/>
      <right style="thin">
        <color rgb="FF1A1A1A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1A1A1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1A1A1A"/>
      </right>
      <top/>
      <bottom/>
      <diagonal/>
    </border>
    <border>
      <left/>
      <right/>
      <top style="thin">
        <color rgb="FF1A1A1A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1A1A1A"/>
      </left>
      <right style="thin">
        <color indexed="64"/>
      </right>
      <top/>
      <bottom style="thin">
        <color indexed="64"/>
      </bottom>
      <diagonal/>
    </border>
    <border>
      <left style="thin">
        <color rgb="FF1A1A1A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1A1A1A"/>
      </right>
      <top style="thin">
        <color rgb="FF1A1A1A"/>
      </top>
      <bottom/>
      <diagonal/>
    </border>
    <border>
      <left/>
      <right style="thin">
        <color indexed="64"/>
      </right>
      <top style="thin">
        <color rgb="FF1A1A1A"/>
      </top>
      <bottom style="thin">
        <color rgb="FF1A1A1A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1A1A1A"/>
      </left>
      <right style="thin">
        <color indexed="64"/>
      </right>
      <top/>
      <bottom/>
      <diagonal/>
    </border>
    <border>
      <left style="thin">
        <color rgb="FF1A1A1A"/>
      </left>
      <right style="thin">
        <color indexed="64"/>
      </right>
      <top/>
      <bottom style="thin">
        <color rgb="FF1A1A1A"/>
      </bottom>
      <diagonal/>
    </border>
    <border>
      <left style="thin">
        <color rgb="FF1A1A1A"/>
      </left>
      <right style="thin">
        <color indexed="64"/>
      </right>
      <top style="thin">
        <color rgb="FF1A1A1A"/>
      </top>
      <bottom/>
      <diagonal/>
    </border>
    <border>
      <left/>
      <right style="thin">
        <color indexed="64"/>
      </right>
      <top style="thin">
        <color rgb="FF1A1A1A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1A1A1A"/>
      </bottom>
      <diagonal/>
    </border>
    <border>
      <left/>
      <right style="thin">
        <color indexed="64"/>
      </right>
      <top style="thin">
        <color rgb="FF1A1A1A"/>
      </top>
      <bottom style="thin">
        <color rgb="FF000000"/>
      </bottom>
      <diagonal/>
    </border>
    <border>
      <left style="thin">
        <color rgb="FF1A1A1A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1A1A1A"/>
      </right>
      <top style="thin">
        <color indexed="64"/>
      </top>
      <bottom style="thin">
        <color rgb="FF000000"/>
      </bottom>
      <diagonal/>
    </border>
    <border>
      <left style="thin">
        <color rgb="FF1A1A1A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1A1A1A"/>
      </right>
      <top style="thin">
        <color rgb="FF000000"/>
      </top>
      <bottom style="thin">
        <color rgb="FF1A1A1A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1A1A1A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1A1A1A"/>
      </bottom>
      <diagonal/>
    </border>
    <border>
      <left style="thin">
        <color rgb="FF1A1A1A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1A1A1A"/>
      </left>
      <right/>
      <top style="thin">
        <color rgb="FF1A1A1A"/>
      </top>
      <bottom style="thin">
        <color indexed="64"/>
      </bottom>
      <diagonal/>
    </border>
    <border>
      <left/>
      <right/>
      <top style="thin">
        <color rgb="FF1A1A1A"/>
      </top>
      <bottom style="thin">
        <color indexed="64"/>
      </bottom>
      <diagonal/>
    </border>
    <border>
      <left/>
      <right style="thin">
        <color rgb="FF1A1A1A"/>
      </right>
      <top style="thin">
        <color rgb="FF1A1A1A"/>
      </top>
      <bottom style="thin">
        <color indexed="64"/>
      </bottom>
      <diagonal/>
    </border>
    <border>
      <left style="thin">
        <color rgb="FF1A1A1A"/>
      </left>
      <right style="thin">
        <color rgb="FF1A1A1A"/>
      </right>
      <top/>
      <bottom style="thin">
        <color indexed="64"/>
      </bottom>
      <diagonal/>
    </border>
    <border>
      <left style="thin">
        <color indexed="64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indexed="64"/>
      </left>
      <right style="thin">
        <color rgb="FF1A1A1A"/>
      </right>
      <top/>
      <bottom style="thin">
        <color rgb="FF1A1A1A"/>
      </bottom>
      <diagonal/>
    </border>
    <border>
      <left style="thin">
        <color indexed="64"/>
      </left>
      <right style="thin">
        <color rgb="FF1A1A1A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1A1A1A"/>
      </right>
      <top style="thin">
        <color rgb="FF1A1A1A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1A1A1A"/>
      </bottom>
      <diagonal/>
    </border>
    <border>
      <left style="thin">
        <color indexed="64"/>
      </left>
      <right style="thin">
        <color rgb="FF1A1A1A"/>
      </right>
      <top style="thin">
        <color rgb="FF000000"/>
      </top>
      <bottom/>
      <diagonal/>
    </border>
    <border>
      <left style="thin">
        <color indexed="64"/>
      </left>
      <right style="thin">
        <color rgb="FF1A1A1A"/>
      </right>
      <top/>
      <bottom style="thin">
        <color indexed="64"/>
      </bottom>
      <diagonal/>
    </border>
    <border>
      <left style="thin">
        <color rgb="FF1A1A1A"/>
      </left>
      <right style="thin">
        <color rgb="FF000000"/>
      </right>
      <top style="thin">
        <color rgb="FF1A1A1A"/>
      </top>
      <bottom style="thin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rgb="FF000000"/>
      </top>
      <bottom style="thin">
        <color indexed="64"/>
      </bottom>
      <diagonal/>
    </border>
    <border>
      <left style="thin">
        <color rgb="FF1A1A1A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1A1A1A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1A1A1A"/>
      </right>
      <top style="thin">
        <color indexed="64"/>
      </top>
      <bottom/>
      <diagonal/>
    </border>
    <border>
      <left style="thin">
        <color indexed="64"/>
      </left>
      <right style="thin">
        <color rgb="FF1A1A1A"/>
      </right>
      <top style="thin">
        <color rgb="FF1A1A1A"/>
      </top>
      <bottom style="thin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indexed="64"/>
      </top>
      <bottom/>
      <diagonal/>
    </border>
    <border>
      <left/>
      <right style="thin">
        <color rgb="FF1A1A1A"/>
      </right>
      <top style="thin">
        <color indexed="64"/>
      </top>
      <bottom/>
      <diagonal/>
    </border>
    <border>
      <left style="thin">
        <color rgb="FF1A1A1A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indexed="64"/>
      </top>
      <bottom style="thin">
        <color rgb="FF1A1A1A"/>
      </bottom>
      <diagonal/>
    </border>
  </borders>
  <cellStyleXfs count="3">
    <xf numFmtId="0" fontId="0" fillId="0" borderId="0"/>
    <xf numFmtId="0" fontId="7" fillId="0" borderId="0"/>
    <xf numFmtId="9" fontId="38" fillId="0" borderId="0" applyFont="0" applyFill="0" applyBorder="0" applyAlignment="0" applyProtection="0"/>
  </cellStyleXfs>
  <cellXfs count="581">
    <xf numFmtId="0" fontId="0" fillId="0" borderId="0" xfId="0" applyFill="1" applyBorder="1" applyAlignment="1">
      <alignment horizontal="left" vertical="top"/>
    </xf>
    <xf numFmtId="0" fontId="0" fillId="0" borderId="32" xfId="0" applyFill="1" applyBorder="1" applyAlignment="1">
      <alignment horizontal="left" vertical="top"/>
    </xf>
    <xf numFmtId="0" fontId="8" fillId="0" borderId="0" xfId="0" applyFont="1"/>
    <xf numFmtId="2" fontId="8" fillId="0" borderId="0" xfId="0" applyNumberFormat="1" applyFont="1"/>
    <xf numFmtId="0" fontId="10" fillId="0" borderId="50" xfId="0" applyFont="1" applyBorder="1"/>
    <xf numFmtId="2" fontId="10" fillId="0" borderId="50" xfId="0" applyNumberFormat="1" applyFont="1" applyBorder="1"/>
    <xf numFmtId="0" fontId="10" fillId="0" borderId="53" xfId="0" applyFont="1" applyBorder="1"/>
    <xf numFmtId="0" fontId="8" fillId="0" borderId="53" xfId="0" applyFont="1" applyBorder="1"/>
    <xf numFmtId="0" fontId="0" fillId="0" borderId="46" xfId="0" applyBorder="1"/>
    <xf numFmtId="0" fontId="4" fillId="0" borderId="28" xfId="0" applyFont="1" applyBorder="1"/>
    <xf numFmtId="0" fontId="0" fillId="0" borderId="58" xfId="0" applyBorder="1"/>
    <xf numFmtId="0" fontId="4" fillId="0" borderId="58" xfId="0" applyFont="1" applyBorder="1"/>
    <xf numFmtId="0" fontId="10" fillId="0" borderId="0" xfId="0" applyFont="1"/>
    <xf numFmtId="0" fontId="0" fillId="0" borderId="0" xfId="0"/>
    <xf numFmtId="2" fontId="7" fillId="0" borderId="0" xfId="1" applyNumberFormat="1"/>
    <xf numFmtId="2" fontId="11" fillId="0" borderId="44" xfId="1" applyNumberFormat="1" applyFont="1" applyBorder="1" applyAlignment="1">
      <alignment horizontal="left" vertical="center"/>
    </xf>
    <xf numFmtId="2" fontId="11" fillId="0" borderId="47" xfId="1" applyNumberFormat="1" applyFont="1" applyBorder="1" applyAlignment="1">
      <alignment vertical="center"/>
    </xf>
    <xf numFmtId="2" fontId="11" fillId="0" borderId="37" xfId="1" applyNumberFormat="1" applyFont="1" applyBorder="1" applyAlignment="1">
      <alignment vertical="center"/>
    </xf>
    <xf numFmtId="2" fontId="11" fillId="0" borderId="38" xfId="1" applyNumberFormat="1" applyFont="1" applyBorder="1" applyAlignment="1">
      <alignment vertical="center"/>
    </xf>
    <xf numFmtId="2" fontId="7" fillId="7" borderId="0" xfId="1" applyNumberFormat="1" applyFill="1"/>
    <xf numFmtId="2" fontId="7" fillId="0" borderId="64" xfId="1" applyNumberFormat="1" applyBorder="1"/>
    <xf numFmtId="2" fontId="7" fillId="0" borderId="65" xfId="1" applyNumberFormat="1" applyBorder="1"/>
    <xf numFmtId="2" fontId="0" fillId="0" borderId="48" xfId="0" applyNumberForma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0" fillId="0" borderId="0" xfId="0" applyBorder="1"/>
    <xf numFmtId="0" fontId="16" fillId="0" borderId="0" xfId="0" applyFont="1"/>
    <xf numFmtId="0" fontId="17" fillId="0" borderId="0" xfId="0" applyFont="1" applyFill="1" applyBorder="1" applyAlignment="1">
      <alignment horizontal="left" vertical="top"/>
    </xf>
    <xf numFmtId="0" fontId="17" fillId="0" borderId="0" xfId="0" applyFont="1"/>
    <xf numFmtId="0" fontId="1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8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2" fontId="0" fillId="0" borderId="0" xfId="0" applyNumberFormat="1"/>
    <xf numFmtId="2" fontId="0" fillId="0" borderId="0" xfId="0" applyNumberFormat="1" applyFill="1" applyBorder="1" applyAlignment="1">
      <alignment horizontal="left" vertical="top"/>
    </xf>
    <xf numFmtId="0" fontId="22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2" fontId="11" fillId="0" borderId="85" xfId="1" applyNumberFormat="1" applyFont="1" applyBorder="1" applyAlignment="1">
      <alignment vertical="center"/>
    </xf>
    <xf numFmtId="2" fontId="11" fillId="0" borderId="88" xfId="1" applyNumberFormat="1" applyFont="1" applyBorder="1" applyAlignment="1">
      <alignment vertical="center"/>
    </xf>
    <xf numFmtId="44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44" fontId="0" fillId="0" borderId="0" xfId="0" applyNumberFormat="1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58" xfId="0" applyFill="1" applyBorder="1" applyAlignment="1">
      <alignment horizontal="left" wrapText="1"/>
    </xf>
    <xf numFmtId="0" fontId="0" fillId="0" borderId="63" xfId="0" applyFill="1" applyBorder="1" applyAlignment="1">
      <alignment horizontal="left" wrapText="1"/>
    </xf>
    <xf numFmtId="0" fontId="18" fillId="2" borderId="123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top"/>
    </xf>
    <xf numFmtId="44" fontId="19" fillId="0" borderId="16" xfId="0" applyNumberFormat="1" applyFont="1" applyFill="1" applyBorder="1" applyAlignment="1">
      <alignment horizontal="center" vertical="center" wrapText="1"/>
    </xf>
    <xf numFmtId="9" fontId="19" fillId="0" borderId="4" xfId="0" applyNumberFormat="1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44" fontId="18" fillId="0" borderId="7" xfId="0" applyNumberFormat="1" applyFont="1" applyFill="1" applyBorder="1" applyAlignment="1">
      <alignment horizontal="left" vertical="center" wrapText="1"/>
    </xf>
    <xf numFmtId="44" fontId="18" fillId="0" borderId="95" xfId="0" applyNumberFormat="1" applyFont="1" applyFill="1" applyBorder="1" applyAlignment="1">
      <alignment horizontal="left" vertical="center" wrapText="1"/>
    </xf>
    <xf numFmtId="0" fontId="20" fillId="3" borderId="89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1" fillId="3" borderId="10" xfId="0" applyNumberFormat="1" applyFont="1" applyFill="1" applyBorder="1" applyAlignment="1">
      <alignment horizontal="center" vertical="center" shrinkToFit="1"/>
    </xf>
    <xf numFmtId="44" fontId="21" fillId="3" borderId="12" xfId="0" applyNumberFormat="1" applyFont="1" applyFill="1" applyBorder="1" applyAlignment="1">
      <alignment horizontal="left" vertical="center" shrinkToFit="1"/>
    </xf>
    <xf numFmtId="44" fontId="19" fillId="3" borderId="93" xfId="0" applyNumberFormat="1" applyFont="1" applyFill="1" applyBorder="1" applyAlignment="1">
      <alignment horizontal="center" vertical="center" wrapText="1"/>
    </xf>
    <xf numFmtId="44" fontId="19" fillId="3" borderId="30" xfId="0" applyNumberFormat="1" applyFont="1" applyFill="1" applyBorder="1" applyAlignment="1">
      <alignment horizontal="center" vertical="center" wrapText="1"/>
    </xf>
    <xf numFmtId="0" fontId="18" fillId="0" borderId="12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44" fontId="26" fillId="0" borderId="90" xfId="0" applyNumberFormat="1" applyFont="1" applyFill="1" applyBorder="1" applyAlignment="1">
      <alignment horizontal="right" vertical="center" shrinkToFit="1"/>
    </xf>
    <xf numFmtId="44" fontId="18" fillId="0" borderId="94" xfId="0" applyNumberFormat="1" applyFont="1" applyFill="1" applyBorder="1" applyAlignment="1">
      <alignment horizontal="left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1" fillId="6" borderId="10" xfId="0" applyNumberFormat="1" applyFont="1" applyFill="1" applyBorder="1" applyAlignment="1">
      <alignment horizontal="center" vertical="center" shrinkToFit="1"/>
    </xf>
    <xf numFmtId="44" fontId="21" fillId="6" borderId="12" xfId="0" applyNumberFormat="1" applyFont="1" applyFill="1" applyBorder="1" applyAlignment="1">
      <alignment horizontal="left" vertical="center" shrinkToFit="1"/>
    </xf>
    <xf numFmtId="44" fontId="19" fillId="6" borderId="92" xfId="0" applyNumberFormat="1" applyFont="1" applyFill="1" applyBorder="1" applyAlignment="1">
      <alignment horizontal="center" vertical="center" wrapText="1"/>
    </xf>
    <xf numFmtId="44" fontId="19" fillId="6" borderId="30" xfId="0" applyNumberFormat="1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1" fillId="4" borderId="10" xfId="0" applyNumberFormat="1" applyFont="1" applyFill="1" applyBorder="1" applyAlignment="1">
      <alignment horizontal="center" vertical="center" shrinkToFit="1"/>
    </xf>
    <xf numFmtId="44" fontId="21" fillId="4" borderId="12" xfId="0" applyNumberFormat="1" applyFont="1" applyFill="1" applyBorder="1" applyAlignment="1">
      <alignment horizontal="left" vertical="center" shrinkToFit="1"/>
    </xf>
    <xf numFmtId="44" fontId="19" fillId="4" borderId="92" xfId="0" applyNumberFormat="1" applyFont="1" applyFill="1" applyBorder="1" applyAlignment="1">
      <alignment horizontal="center" vertical="center" wrapText="1"/>
    </xf>
    <xf numFmtId="44" fontId="19" fillId="4" borderId="30" xfId="0" applyNumberFormat="1" applyFont="1" applyFill="1" applyBorder="1" applyAlignment="1">
      <alignment horizontal="center" vertical="center" wrapText="1"/>
    </xf>
    <xf numFmtId="44" fontId="19" fillId="4" borderId="93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wrapText="1"/>
    </xf>
    <xf numFmtId="0" fontId="18" fillId="0" borderId="18" xfId="0" applyFont="1" applyFill="1" applyBorder="1" applyAlignment="1">
      <alignment horizontal="left" wrapText="1"/>
    </xf>
    <xf numFmtId="0" fontId="18" fillId="0" borderId="18" xfId="0" applyFont="1" applyFill="1" applyBorder="1" applyAlignment="1">
      <alignment horizontal="left" vertical="center" wrapText="1"/>
    </xf>
    <xf numFmtId="44" fontId="18" fillId="0" borderId="96" xfId="0" applyNumberFormat="1" applyFont="1" applyFill="1" applyBorder="1" applyAlignment="1">
      <alignment horizontal="left" wrapText="1"/>
    </xf>
    <xf numFmtId="0" fontId="20" fillId="5" borderId="32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 wrapText="1"/>
    </xf>
    <xf numFmtId="2" fontId="21" fillId="5" borderId="43" xfId="0" applyNumberFormat="1" applyFont="1" applyFill="1" applyBorder="1" applyAlignment="1">
      <alignment horizontal="center" vertical="center" shrinkToFit="1"/>
    </xf>
    <xf numFmtId="44" fontId="21" fillId="5" borderId="30" xfId="0" applyNumberFormat="1" applyFont="1" applyFill="1" applyBorder="1" applyAlignment="1">
      <alignment horizontal="left" vertical="center" shrinkToFit="1"/>
    </xf>
    <xf numFmtId="44" fontId="19" fillId="5" borderId="30" xfId="0" applyNumberFormat="1" applyFont="1" applyFill="1" applyBorder="1" applyAlignment="1">
      <alignment horizontal="center" vertical="center" wrapText="1"/>
    </xf>
    <xf numFmtId="0" fontId="20" fillId="3" borderId="109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2" fontId="21" fillId="3" borderId="43" xfId="0" applyNumberFormat="1" applyFont="1" applyFill="1" applyBorder="1" applyAlignment="1">
      <alignment horizontal="center" vertical="center" shrinkToFit="1"/>
    </xf>
    <xf numFmtId="44" fontId="21" fillId="3" borderId="30" xfId="0" applyNumberFormat="1" applyFont="1" applyFill="1" applyBorder="1" applyAlignment="1">
      <alignment horizontal="left" vertical="center" shrinkToFit="1"/>
    </xf>
    <xf numFmtId="2" fontId="21" fillId="5" borderId="34" xfId="0" applyNumberFormat="1" applyFont="1" applyFill="1" applyBorder="1" applyAlignment="1">
      <alignment horizontal="center" vertical="center" shrinkToFit="1"/>
    </xf>
    <xf numFmtId="44" fontId="21" fillId="5" borderId="31" xfId="0" applyNumberFormat="1" applyFont="1" applyFill="1" applyBorder="1" applyAlignment="1">
      <alignment horizontal="left" vertical="center" shrinkToFit="1"/>
    </xf>
    <xf numFmtId="44" fontId="21" fillId="5" borderId="116" xfId="0" applyNumberFormat="1" applyFont="1" applyFill="1" applyBorder="1" applyAlignment="1">
      <alignment horizontal="left" vertical="center" shrinkToFit="1"/>
    </xf>
    <xf numFmtId="44" fontId="19" fillId="5" borderId="45" xfId="0" applyNumberFormat="1" applyFont="1" applyFill="1" applyBorder="1" applyAlignment="1">
      <alignment horizontal="center" vertical="center" wrapText="1"/>
    </xf>
    <xf numFmtId="0" fontId="18" fillId="0" borderId="110" xfId="0" applyFont="1" applyFill="1" applyBorder="1" applyAlignment="1">
      <alignment horizontal="left" wrapText="1"/>
    </xf>
    <xf numFmtId="0" fontId="18" fillId="0" borderId="20" xfId="0" applyFont="1" applyFill="1" applyBorder="1" applyAlignment="1">
      <alignment horizontal="left" wrapText="1"/>
    </xf>
    <xf numFmtId="44" fontId="26" fillId="0" borderId="97" xfId="0" applyNumberFormat="1" applyFont="1" applyFill="1" applyBorder="1" applyAlignment="1">
      <alignment horizontal="right" vertical="center" shrinkToFit="1"/>
    </xf>
    <xf numFmtId="0" fontId="20" fillId="5" borderId="32" xfId="0" applyFont="1" applyFill="1" applyBorder="1" applyAlignment="1">
      <alignment horizontal="left" vertical="center" wrapText="1"/>
    </xf>
    <xf numFmtId="0" fontId="20" fillId="5" borderId="43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 wrapText="1"/>
    </xf>
    <xf numFmtId="44" fontId="18" fillId="0" borderId="95" xfId="0" applyNumberFormat="1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left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21" fillId="6" borderId="43" xfId="0" applyNumberFormat="1" applyFont="1" applyFill="1" applyBorder="1" applyAlignment="1">
      <alignment horizontal="center" vertical="center" shrinkToFit="1"/>
    </xf>
    <xf numFmtId="44" fontId="21" fillId="3" borderId="25" xfId="0" applyNumberFormat="1" applyFont="1" applyFill="1" applyBorder="1" applyAlignment="1">
      <alignment horizontal="left" vertical="center" shrinkToFit="1"/>
    </xf>
    <xf numFmtId="2" fontId="21" fillId="6" borderId="117" xfId="0" applyNumberFormat="1" applyFont="1" applyFill="1" applyBorder="1" applyAlignment="1">
      <alignment horizontal="center" vertical="center" shrinkToFit="1"/>
    </xf>
    <xf numFmtId="44" fontId="21" fillId="3" borderId="29" xfId="0" applyNumberFormat="1" applyFont="1" applyFill="1" applyBorder="1" applyAlignment="1">
      <alignment horizontal="left" vertical="center" shrinkToFit="1"/>
    </xf>
    <xf numFmtId="44" fontId="19" fillId="3" borderId="31" xfId="0" applyNumberFormat="1" applyFont="1" applyFill="1" applyBorder="1" applyAlignment="1">
      <alignment horizontal="center" vertical="center" wrapText="1"/>
    </xf>
    <xf numFmtId="44" fontId="19" fillId="6" borderId="34" xfId="0" applyNumberFormat="1" applyFont="1" applyFill="1" applyBorder="1" applyAlignment="1">
      <alignment horizontal="center" vertical="center" wrapText="1"/>
    </xf>
    <xf numFmtId="0" fontId="18" fillId="0" borderId="124" xfId="0" applyFont="1" applyFill="1" applyBorder="1" applyAlignment="1">
      <alignment horizontal="left" wrapText="1"/>
    </xf>
    <xf numFmtId="0" fontId="18" fillId="0" borderId="15" xfId="0" applyFont="1" applyFill="1" applyBorder="1" applyAlignment="1">
      <alignment horizontal="left" wrapText="1"/>
    </xf>
    <xf numFmtId="2" fontId="21" fillId="5" borderId="32" xfId="0" applyNumberFormat="1" applyFont="1" applyFill="1" applyBorder="1" applyAlignment="1">
      <alignment horizontal="center" vertical="center" shrinkToFit="1"/>
    </xf>
    <xf numFmtId="0" fontId="12" fillId="2" borderId="125" xfId="0" applyFont="1" applyFill="1" applyBorder="1" applyAlignment="1">
      <alignment horizontal="center" vertical="top" wrapText="1"/>
    </xf>
    <xf numFmtId="0" fontId="12" fillId="2" borderId="22" xfId="0" applyFont="1" applyFill="1" applyBorder="1" applyAlignment="1">
      <alignment horizontal="center" vertical="top" wrapText="1"/>
    </xf>
    <xf numFmtId="0" fontId="12" fillId="2" borderId="22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44" fontId="18" fillId="0" borderId="96" xfId="0" applyNumberFormat="1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horizontal="center" vertical="center" wrapText="1"/>
    </xf>
    <xf numFmtId="2" fontId="21" fillId="3" borderId="35" xfId="0" applyNumberFormat="1" applyFont="1" applyFill="1" applyBorder="1" applyAlignment="1">
      <alignment horizontal="center" vertical="center" shrinkToFit="1"/>
    </xf>
    <xf numFmtId="0" fontId="20" fillId="4" borderId="109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2" fontId="21" fillId="5" borderId="35" xfId="0" applyNumberFormat="1" applyFont="1" applyFill="1" applyBorder="1" applyAlignment="1">
      <alignment horizontal="center" vertical="center" shrinkToFit="1"/>
    </xf>
    <xf numFmtId="44" fontId="21" fillId="5" borderId="12" xfId="0" applyNumberFormat="1" applyFont="1" applyFill="1" applyBorder="1" applyAlignment="1">
      <alignment horizontal="left" vertical="center" shrinkToFit="1"/>
    </xf>
    <xf numFmtId="0" fontId="20" fillId="6" borderId="109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44" fontId="21" fillId="6" borderId="25" xfId="0" applyNumberFormat="1" applyFont="1" applyFill="1" applyBorder="1" applyAlignment="1">
      <alignment horizontal="left" vertical="center" shrinkToFit="1"/>
    </xf>
    <xf numFmtId="0" fontId="20" fillId="4" borderId="10" xfId="0" applyFont="1" applyFill="1" applyBorder="1" applyAlignment="1">
      <alignment horizontal="left" vertical="center" wrapText="1"/>
    </xf>
    <xf numFmtId="44" fontId="26" fillId="0" borderId="118" xfId="0" applyNumberFormat="1" applyFont="1" applyFill="1" applyBorder="1" applyAlignment="1">
      <alignment horizontal="right" vertical="center" shrinkToFit="1"/>
    </xf>
    <xf numFmtId="0" fontId="12" fillId="2" borderId="11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9" fillId="3" borderId="89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 wrapText="1"/>
    </xf>
    <xf numFmtId="2" fontId="21" fillId="3" borderId="10" xfId="0" applyNumberFormat="1" applyFont="1" applyFill="1" applyBorder="1" applyAlignment="1">
      <alignment horizontal="center" vertical="center" shrinkToFit="1"/>
    </xf>
    <xf numFmtId="44" fontId="21" fillId="3" borderId="16" xfId="0" applyNumberFormat="1" applyFont="1" applyFill="1" applyBorder="1" applyAlignment="1">
      <alignment horizontal="left" vertical="center" shrinkToFit="1"/>
    </xf>
    <xf numFmtId="44" fontId="19" fillId="3" borderId="99" xfId="0" applyNumberFormat="1" applyFont="1" applyFill="1" applyBorder="1" applyAlignment="1">
      <alignment horizontal="center" vertical="center" wrapText="1"/>
    </xf>
    <xf numFmtId="0" fontId="20" fillId="5" borderId="109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left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0" xfId="0" applyNumberFormat="1" applyFont="1" applyFill="1" applyBorder="1" applyAlignment="1">
      <alignment horizontal="center" vertical="center" shrinkToFit="1"/>
    </xf>
    <xf numFmtId="0" fontId="12" fillId="2" borderId="126" xfId="0" applyFont="1" applyFill="1" applyBorder="1" applyAlignment="1">
      <alignment horizontal="center" vertical="top" wrapText="1"/>
    </xf>
    <xf numFmtId="0" fontId="20" fillId="3" borderId="10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4" fontId="19" fillId="3" borderId="92" xfId="0" applyNumberFormat="1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2" fontId="21" fillId="4" borderId="10" xfId="0" applyNumberFormat="1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 wrapText="1"/>
    </xf>
    <xf numFmtId="2" fontId="21" fillId="5" borderId="10" xfId="0" applyNumberFormat="1" applyFont="1" applyFill="1" applyBorder="1" applyAlignment="1">
      <alignment horizontal="center" vertical="center" shrinkToFit="1"/>
    </xf>
    <xf numFmtId="44" fontId="19" fillId="5" borderId="92" xfId="0" applyNumberFormat="1" applyFont="1" applyFill="1" applyBorder="1" applyAlignment="1">
      <alignment horizontal="center" vertical="center" wrapText="1"/>
    </xf>
    <xf numFmtId="2" fontId="21" fillId="6" borderId="10" xfId="0" applyNumberFormat="1" applyFont="1" applyFill="1" applyBorder="1" applyAlignment="1">
      <alignment horizontal="center" vertical="center" shrinkToFit="1"/>
    </xf>
    <xf numFmtId="0" fontId="19" fillId="5" borderId="39" xfId="0" applyFont="1" applyFill="1" applyBorder="1" applyAlignment="1">
      <alignment horizontal="center" vertical="center" wrapText="1"/>
    </xf>
    <xf numFmtId="2" fontId="21" fillId="5" borderId="16" xfId="0" applyNumberFormat="1" applyFont="1" applyFill="1" applyBorder="1" applyAlignment="1">
      <alignment horizontal="center" vertical="center" shrinkToFit="1"/>
    </xf>
    <xf numFmtId="44" fontId="21" fillId="5" borderId="16" xfId="0" applyNumberFormat="1" applyFont="1" applyFill="1" applyBorder="1" applyAlignment="1">
      <alignment horizontal="left" vertical="center" shrinkToFit="1"/>
    </xf>
    <xf numFmtId="44" fontId="19" fillId="5" borderId="93" xfId="0" applyNumberFormat="1" applyFont="1" applyFill="1" applyBorder="1" applyAlignment="1">
      <alignment horizontal="center" vertical="center" wrapText="1"/>
    </xf>
    <xf numFmtId="0" fontId="18" fillId="0" borderId="127" xfId="0" applyFont="1" applyFill="1" applyBorder="1" applyAlignment="1">
      <alignment horizontal="left" wrapText="1"/>
    </xf>
    <xf numFmtId="0" fontId="18" fillId="0" borderId="17" xfId="0" applyFont="1" applyFill="1" applyBorder="1" applyAlignment="1">
      <alignment horizontal="left" wrapText="1"/>
    </xf>
    <xf numFmtId="44" fontId="26" fillId="0" borderId="100" xfId="0" applyNumberFormat="1" applyFont="1" applyFill="1" applyBorder="1" applyAlignment="1">
      <alignment horizontal="right" vertical="center" shrinkToFit="1"/>
    </xf>
    <xf numFmtId="0" fontId="20" fillId="3" borderId="10" xfId="0" applyFont="1" applyFill="1" applyBorder="1" applyAlignment="1">
      <alignment horizontal="left" vertical="center" wrapText="1"/>
    </xf>
    <xf numFmtId="2" fontId="21" fillId="3" borderId="92" xfId="0" applyNumberFormat="1" applyFont="1" applyFill="1" applyBorder="1" applyAlignment="1">
      <alignment horizontal="center" vertical="center" shrinkToFit="1"/>
    </xf>
    <xf numFmtId="44" fontId="21" fillId="3" borderId="43" xfId="0" applyNumberFormat="1" applyFont="1" applyFill="1" applyBorder="1" applyAlignment="1">
      <alignment horizontal="left" vertical="center" shrinkToFit="1"/>
    </xf>
    <xf numFmtId="44" fontId="21" fillId="3" borderId="0" xfId="0" applyNumberFormat="1" applyFont="1" applyFill="1" applyBorder="1" applyAlignment="1">
      <alignment horizontal="left" vertical="center" shrinkToFit="1"/>
    </xf>
    <xf numFmtId="44" fontId="19" fillId="3" borderId="43" xfId="0" applyNumberFormat="1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left" vertical="center" wrapText="1"/>
    </xf>
    <xf numFmtId="2" fontId="21" fillId="5" borderId="117" xfId="0" applyNumberFormat="1" applyFont="1" applyFill="1" applyBorder="1" applyAlignment="1">
      <alignment horizontal="center" vertical="center" shrinkToFit="1"/>
    </xf>
    <xf numFmtId="44" fontId="21" fillId="5" borderId="34" xfId="0" applyNumberFormat="1" applyFont="1" applyFill="1" applyBorder="1" applyAlignment="1">
      <alignment horizontal="left" vertical="center" shrinkToFit="1"/>
    </xf>
    <xf numFmtId="44" fontId="19" fillId="5" borderId="31" xfId="0" applyNumberFormat="1" applyFont="1" applyFill="1" applyBorder="1" applyAlignment="1">
      <alignment horizontal="center" vertical="center" wrapText="1"/>
    </xf>
    <xf numFmtId="44" fontId="19" fillId="4" borderId="34" xfId="0" applyNumberFormat="1" applyFont="1" applyFill="1" applyBorder="1" applyAlignment="1">
      <alignment horizontal="center" vertical="center" wrapText="1"/>
    </xf>
    <xf numFmtId="44" fontId="26" fillId="0" borderId="99" xfId="0" applyNumberFormat="1" applyFont="1" applyFill="1" applyBorder="1" applyAlignment="1">
      <alignment horizontal="right" vertical="center" shrinkToFit="1"/>
    </xf>
    <xf numFmtId="0" fontId="12" fillId="2" borderId="126" xfId="0" applyFont="1" applyFill="1" applyBorder="1" applyAlignment="1">
      <alignment horizontal="center" vertical="center" wrapText="1"/>
    </xf>
    <xf numFmtId="0" fontId="20" fillId="5" borderId="12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left" vertical="center" wrapText="1"/>
    </xf>
    <xf numFmtId="1" fontId="21" fillId="5" borderId="10" xfId="0" applyNumberFormat="1" applyFont="1" applyFill="1" applyBorder="1" applyAlignment="1">
      <alignment horizontal="center" vertical="center" shrinkToFi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left" vertical="center" wrapText="1"/>
    </xf>
    <xf numFmtId="0" fontId="19" fillId="6" borderId="14" xfId="0" applyFont="1" applyFill="1" applyBorder="1" applyAlignment="1">
      <alignment horizontal="center" vertical="center" wrapText="1"/>
    </xf>
    <xf numFmtId="1" fontId="21" fillId="6" borderId="10" xfId="0" applyNumberFormat="1" applyFont="1" applyFill="1" applyBorder="1" applyAlignment="1">
      <alignment horizontal="center" vertical="center" shrinkToFi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left" vertical="center" wrapText="1"/>
    </xf>
    <xf numFmtId="1" fontId="21" fillId="4" borderId="10" xfId="0" applyNumberFormat="1" applyFont="1" applyFill="1" applyBorder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wrapText="1"/>
    </xf>
    <xf numFmtId="0" fontId="21" fillId="5" borderId="10" xfId="0" applyNumberFormat="1" applyFont="1" applyFill="1" applyBorder="1" applyAlignment="1">
      <alignment horizontal="center" vertical="center" shrinkToFit="1"/>
    </xf>
    <xf numFmtId="44" fontId="19" fillId="5" borderId="115" xfId="0" applyNumberFormat="1" applyFont="1" applyFill="1" applyBorder="1" applyAlignment="1">
      <alignment horizontal="center" vertical="center" wrapText="1"/>
    </xf>
    <xf numFmtId="0" fontId="18" fillId="0" borderId="11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2" fillId="2" borderId="128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44" fontId="18" fillId="0" borderId="114" xfId="0" applyNumberFormat="1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center" vertical="center" wrapText="1"/>
    </xf>
    <xf numFmtId="0" fontId="20" fillId="5" borderId="42" xfId="0" applyFont="1" applyFill="1" applyBorder="1" applyAlignment="1">
      <alignment horizontal="left" vertical="center" wrapText="1"/>
    </xf>
    <xf numFmtId="0" fontId="19" fillId="5" borderId="13" xfId="0" applyFont="1" applyFill="1" applyBorder="1" applyAlignment="1">
      <alignment horizontal="center" vertical="center" wrapText="1"/>
    </xf>
    <xf numFmtId="1" fontId="21" fillId="5" borderId="13" xfId="0" applyNumberFormat="1" applyFont="1" applyFill="1" applyBorder="1" applyAlignment="1">
      <alignment horizontal="center" vertical="center" shrinkToFit="1"/>
    </xf>
    <xf numFmtId="44" fontId="21" fillId="5" borderId="25" xfId="0" applyNumberFormat="1" applyFont="1" applyFill="1" applyBorder="1" applyAlignment="1">
      <alignment horizontal="left" vertical="center" shrinkToFit="1"/>
    </xf>
    <xf numFmtId="44" fontId="19" fillId="5" borderId="91" xfId="0" applyNumberFormat="1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left" vertical="center" wrapText="1"/>
    </xf>
    <xf numFmtId="0" fontId="19" fillId="3" borderId="25" xfId="0" applyFont="1" applyFill="1" applyBorder="1" applyAlignment="1">
      <alignment horizontal="center" vertical="center" wrapText="1"/>
    </xf>
    <xf numFmtId="1" fontId="21" fillId="3" borderId="13" xfId="0" applyNumberFormat="1" applyFont="1" applyFill="1" applyBorder="1" applyAlignment="1">
      <alignment horizontal="center" vertical="center" shrinkToFit="1"/>
    </xf>
    <xf numFmtId="44" fontId="19" fillId="3" borderId="91" xfId="0" applyNumberFormat="1" applyFont="1" applyFill="1" applyBorder="1" applyAlignment="1">
      <alignment horizontal="center" vertical="center" wrapText="1"/>
    </xf>
    <xf numFmtId="0" fontId="19" fillId="4" borderId="109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1" fontId="21" fillId="4" borderId="13" xfId="0" applyNumberFormat="1" applyFont="1" applyFill="1" applyBorder="1" applyAlignment="1">
      <alignment horizontal="center" vertical="center" shrinkToFit="1"/>
    </xf>
    <xf numFmtId="44" fontId="21" fillId="4" borderId="25" xfId="0" applyNumberFormat="1" applyFont="1" applyFill="1" applyBorder="1" applyAlignment="1">
      <alignment horizontal="left" vertical="center" shrinkToFit="1"/>
    </xf>
    <xf numFmtId="44" fontId="19" fillId="4" borderId="91" xfId="0" applyNumberFormat="1" applyFont="1" applyFill="1" applyBorder="1" applyAlignment="1">
      <alignment horizontal="center" vertical="center" wrapText="1"/>
    </xf>
    <xf numFmtId="0" fontId="19" fillId="3" borderId="109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1" fontId="21" fillId="3" borderId="20" xfId="0" applyNumberFormat="1" applyFont="1" applyFill="1" applyBorder="1" applyAlignment="1">
      <alignment horizontal="center" vertical="center" shrinkToFit="1"/>
    </xf>
    <xf numFmtId="44" fontId="21" fillId="3" borderId="19" xfId="0" applyNumberFormat="1" applyFont="1" applyFill="1" applyBorder="1" applyAlignment="1">
      <alignment horizontal="left" vertical="center" shrinkToFit="1"/>
    </xf>
    <xf numFmtId="44" fontId="19" fillId="3" borderId="98" xfId="0" applyNumberFormat="1" applyFont="1" applyFill="1" applyBorder="1" applyAlignment="1">
      <alignment horizontal="center" vertical="center" wrapText="1"/>
    </xf>
    <xf numFmtId="0" fontId="12" fillId="2" borderId="12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left" vertical="center" wrapText="1"/>
    </xf>
    <xf numFmtId="44" fontId="18" fillId="0" borderId="83" xfId="0" applyNumberFormat="1" applyFont="1" applyFill="1" applyBorder="1" applyAlignment="1">
      <alignment horizontal="left" vertical="center" wrapText="1"/>
    </xf>
    <xf numFmtId="44" fontId="18" fillId="0" borderId="102" xfId="0" applyNumberFormat="1" applyFont="1" applyFill="1" applyBorder="1" applyAlignment="1">
      <alignment horizontal="left" vertical="center" wrapText="1"/>
    </xf>
    <xf numFmtId="0" fontId="19" fillId="3" borderId="10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19" fillId="3" borderId="14" xfId="0" applyFont="1" applyFill="1" applyBorder="1" applyAlignment="1">
      <alignment horizontal="center" vertical="center" wrapText="1"/>
    </xf>
    <xf numFmtId="1" fontId="21" fillId="3" borderId="10" xfId="0" applyNumberFormat="1" applyFont="1" applyFill="1" applyBorder="1" applyAlignment="1">
      <alignment horizontal="center" vertical="center" shrinkToFit="1"/>
    </xf>
    <xf numFmtId="0" fontId="19" fillId="5" borderId="109" xfId="0" applyFont="1" applyFill="1" applyBorder="1" applyAlignment="1">
      <alignment horizontal="center" vertical="center" wrapText="1"/>
    </xf>
    <xf numFmtId="0" fontId="19" fillId="6" borderId="109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1" fontId="21" fillId="6" borderId="13" xfId="0" applyNumberFormat="1" applyFont="1" applyFill="1" applyBorder="1" applyAlignment="1">
      <alignment horizontal="center" vertical="center" shrinkToFit="1"/>
    </xf>
    <xf numFmtId="44" fontId="19" fillId="6" borderId="91" xfId="0" applyNumberFormat="1" applyFont="1" applyFill="1" applyBorder="1" applyAlignment="1">
      <alignment horizontal="center" vertical="center" wrapText="1"/>
    </xf>
    <xf numFmtId="44" fontId="19" fillId="6" borderId="98" xfId="0" applyNumberFormat="1" applyFont="1" applyFill="1" applyBorder="1" applyAlignment="1">
      <alignment horizontal="center" vertical="center" wrapText="1"/>
    </xf>
    <xf numFmtId="44" fontId="18" fillId="0" borderId="36" xfId="0" applyNumberFormat="1" applyFont="1" applyFill="1" applyBorder="1" applyAlignment="1">
      <alignment horizontal="left" wrapText="1"/>
    </xf>
    <xf numFmtId="0" fontId="20" fillId="6" borderId="10" xfId="0" applyFont="1" applyFill="1" applyBorder="1" applyAlignment="1">
      <alignment horizontal="left" vertical="center" wrapText="1"/>
    </xf>
    <xf numFmtId="0" fontId="20" fillId="5" borderId="35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6" borderId="11" xfId="0" applyFont="1" applyFill="1" applyBorder="1" applyAlignment="1">
      <alignment horizontal="left" vertical="center" wrapText="1"/>
    </xf>
    <xf numFmtId="44" fontId="21" fillId="6" borderId="30" xfId="0" applyNumberFormat="1" applyFont="1" applyFill="1" applyBorder="1" applyAlignment="1">
      <alignment horizontal="left" vertical="center" shrinkToFit="1"/>
    </xf>
    <xf numFmtId="0" fontId="18" fillId="0" borderId="129" xfId="0" applyFont="1" applyFill="1" applyBorder="1" applyAlignment="1">
      <alignment horizontal="left" vertical="center" wrapText="1"/>
    </xf>
    <xf numFmtId="0" fontId="18" fillId="0" borderId="122" xfId="0" applyFont="1" applyFill="1" applyBorder="1" applyAlignment="1">
      <alignment horizontal="left" vertical="center" wrapText="1"/>
    </xf>
    <xf numFmtId="44" fontId="26" fillId="0" borderId="39" xfId="0" applyNumberFormat="1" applyFont="1" applyFill="1" applyBorder="1" applyAlignment="1">
      <alignment horizontal="right" vertical="center" shrinkToFit="1"/>
    </xf>
    <xf numFmtId="0" fontId="12" fillId="2" borderId="103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05" xfId="0" applyFont="1" applyFill="1" applyBorder="1" applyAlignment="1">
      <alignment horizontal="left" vertical="center" wrapText="1"/>
    </xf>
    <xf numFmtId="0" fontId="18" fillId="0" borderId="106" xfId="0" applyFont="1" applyFill="1" applyBorder="1" applyAlignment="1">
      <alignment horizontal="left" vertical="center" wrapText="1"/>
    </xf>
    <xf numFmtId="0" fontId="18" fillId="0" borderId="107" xfId="0" applyFont="1" applyFill="1" applyBorder="1" applyAlignment="1">
      <alignment horizontal="left" vertical="center" wrapText="1"/>
    </xf>
    <xf numFmtId="44" fontId="18" fillId="0" borderId="112" xfId="0" applyNumberFormat="1" applyFont="1" applyFill="1" applyBorder="1" applyAlignment="1">
      <alignment horizontal="left" vertical="center" wrapText="1"/>
    </xf>
    <xf numFmtId="44" fontId="18" fillId="0" borderId="38" xfId="0" applyNumberFormat="1" applyFont="1" applyFill="1" applyBorder="1" applyAlignment="1">
      <alignment horizontal="left" vertical="center" wrapText="1"/>
    </xf>
    <xf numFmtId="44" fontId="19" fillId="3" borderId="27" xfId="0" applyNumberFormat="1" applyFont="1" applyFill="1" applyBorder="1" applyAlignment="1">
      <alignment horizontal="center" vertical="center" wrapText="1"/>
    </xf>
    <xf numFmtId="44" fontId="21" fillId="5" borderId="91" xfId="0" applyNumberFormat="1" applyFont="1" applyFill="1" applyBorder="1" applyAlignment="1">
      <alignment horizontal="left" vertical="center" shrinkToFit="1"/>
    </xf>
    <xf numFmtId="44" fontId="19" fillId="5" borderId="43" xfId="0" applyNumberFormat="1" applyFont="1" applyFill="1" applyBorder="1" applyAlignment="1">
      <alignment horizontal="center" vertical="center" wrapText="1"/>
    </xf>
    <xf numFmtId="44" fontId="21" fillId="6" borderId="91" xfId="0" applyNumberFormat="1" applyFont="1" applyFill="1" applyBorder="1" applyAlignment="1">
      <alignment horizontal="left" vertical="center" shrinkToFit="1"/>
    </xf>
    <xf numFmtId="44" fontId="19" fillId="6" borderId="43" xfId="0" applyNumberFormat="1" applyFont="1" applyFill="1" applyBorder="1" applyAlignment="1">
      <alignment horizontal="center" vertical="center" wrapText="1"/>
    </xf>
    <xf numFmtId="44" fontId="19" fillId="5" borderId="98" xfId="0" applyNumberFormat="1" applyFont="1" applyFill="1" applyBorder="1" applyAlignment="1">
      <alignment horizontal="center" vertical="center" wrapText="1"/>
    </xf>
    <xf numFmtId="44" fontId="26" fillId="0" borderId="113" xfId="0" applyNumberFormat="1" applyFont="1" applyFill="1" applyBorder="1" applyAlignment="1">
      <alignment horizontal="right" vertical="center" shrinkToFit="1"/>
    </xf>
    <xf numFmtId="0" fontId="21" fillId="5" borderId="13" xfId="0" applyNumberFormat="1" applyFont="1" applyFill="1" applyBorder="1" applyAlignment="1">
      <alignment horizontal="center" vertical="center" shrinkToFit="1"/>
    </xf>
    <xf numFmtId="44" fontId="19" fillId="4" borderId="43" xfId="0" applyNumberFormat="1" applyFont="1" applyFill="1" applyBorder="1" applyAlignment="1">
      <alignment horizontal="center" vertical="center" wrapText="1"/>
    </xf>
    <xf numFmtId="0" fontId="21" fillId="6" borderId="13" xfId="0" applyNumberFormat="1" applyFont="1" applyFill="1" applyBorder="1" applyAlignment="1">
      <alignment horizontal="center" vertical="center" shrinkToFit="1"/>
    </xf>
    <xf numFmtId="44" fontId="21" fillId="5" borderId="45" xfId="0" applyNumberFormat="1" applyFont="1" applyFill="1" applyBorder="1" applyAlignment="1">
      <alignment horizontal="left" vertical="center" shrinkToFit="1"/>
    </xf>
    <xf numFmtId="44" fontId="19" fillId="5" borderId="32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44" fontId="18" fillId="0" borderId="101" xfId="0" applyNumberFormat="1" applyFont="1" applyFill="1" applyBorder="1" applyAlignment="1">
      <alignment horizontal="left" vertical="center" wrapText="1"/>
    </xf>
    <xf numFmtId="1" fontId="20" fillId="3" borderId="10" xfId="0" applyNumberFormat="1" applyFont="1" applyFill="1" applyBorder="1" applyAlignment="1">
      <alignment horizontal="center" vertical="center" shrinkToFit="1"/>
    </xf>
    <xf numFmtId="1" fontId="20" fillId="4" borderId="10" xfId="0" applyNumberFormat="1" applyFont="1" applyFill="1" applyBorder="1" applyAlignment="1">
      <alignment horizontal="center" vertical="center" shrinkToFit="1"/>
    </xf>
    <xf numFmtId="1" fontId="20" fillId="5" borderId="10" xfId="0" applyNumberFormat="1" applyFont="1" applyFill="1" applyBorder="1" applyAlignment="1">
      <alignment horizontal="center" vertical="center" shrinkToFit="1"/>
    </xf>
    <xf numFmtId="44" fontId="19" fillId="5" borderId="1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44" fontId="29" fillId="2" borderId="3" xfId="0" applyNumberFormat="1" applyFont="1" applyFill="1" applyBorder="1" applyAlignment="1">
      <alignment horizontal="left" vertical="center" shrinkToFit="1"/>
    </xf>
    <xf numFmtId="44" fontId="29" fillId="2" borderId="4" xfId="0" applyNumberFormat="1" applyFont="1" applyFill="1" applyBorder="1" applyAlignment="1">
      <alignment horizontal="right" vertical="center" shrinkToFit="1"/>
    </xf>
    <xf numFmtId="44" fontId="30" fillId="2" borderId="90" xfId="0" applyNumberFormat="1" applyFont="1" applyFill="1" applyBorder="1" applyAlignment="1">
      <alignment horizontal="right" vertical="center" shrinkToFit="1"/>
    </xf>
    <xf numFmtId="0" fontId="12" fillId="2" borderId="131" xfId="0" applyFont="1" applyFill="1" applyBorder="1" applyAlignment="1">
      <alignment horizontal="center" vertical="top" wrapText="1"/>
    </xf>
    <xf numFmtId="0" fontId="12" fillId="2" borderId="130" xfId="0" applyFont="1" applyFill="1" applyBorder="1" applyAlignment="1">
      <alignment horizontal="left" vertical="top" wrapText="1"/>
    </xf>
    <xf numFmtId="0" fontId="20" fillId="5" borderId="10" xfId="0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32" fillId="0" borderId="0" xfId="0" applyFont="1"/>
    <xf numFmtId="0" fontId="28" fillId="0" borderId="0" xfId="0" applyFont="1"/>
    <xf numFmtId="0" fontId="15" fillId="0" borderId="0" xfId="0" applyFont="1"/>
    <xf numFmtId="0" fontId="28" fillId="0" borderId="0" xfId="0" applyFont="1" applyFill="1" applyBorder="1" applyAlignment="1">
      <alignment horizontal="left" vertical="top"/>
    </xf>
    <xf numFmtId="0" fontId="28" fillId="0" borderId="48" xfId="0" applyFont="1" applyBorder="1" applyAlignment="1">
      <alignment horizontal="center"/>
    </xf>
    <xf numFmtId="0" fontId="28" fillId="0" borderId="48" xfId="0" applyFont="1" applyBorder="1" applyAlignment="1">
      <alignment horizontal="center" vertical="center" wrapText="1"/>
    </xf>
    <xf numFmtId="2" fontId="28" fillId="0" borderId="48" xfId="0" applyNumberFormat="1" applyFont="1" applyBorder="1" applyAlignment="1">
      <alignment horizontal="center" vertical="center"/>
    </xf>
    <xf numFmtId="2" fontId="32" fillId="9" borderId="33" xfId="0" applyNumberFormat="1" applyFont="1" applyFill="1" applyBorder="1"/>
    <xf numFmtId="0" fontId="32" fillId="9" borderId="47" xfId="0" applyFont="1" applyFill="1" applyBorder="1"/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>
      <alignment horizontal="left"/>
    </xf>
    <xf numFmtId="2" fontId="32" fillId="0" borderId="0" xfId="0" applyNumberFormat="1" applyFont="1" applyFill="1" applyBorder="1"/>
    <xf numFmtId="0" fontId="32" fillId="0" borderId="0" xfId="0" applyFont="1" applyFill="1" applyBorder="1"/>
    <xf numFmtId="2" fontId="28" fillId="0" borderId="48" xfId="0" applyNumberFormat="1" applyFont="1" applyBorder="1" applyAlignment="1">
      <alignment horizontal="center"/>
    </xf>
    <xf numFmtId="2" fontId="28" fillId="0" borderId="41" xfId="0" applyNumberFormat="1" applyFont="1" applyBorder="1" applyAlignment="1">
      <alignment horizontal="center"/>
    </xf>
    <xf numFmtId="2" fontId="28" fillId="0" borderId="34" xfId="0" applyNumberFormat="1" applyFont="1" applyBorder="1" applyAlignment="1">
      <alignment horizontal="center"/>
    </xf>
    <xf numFmtId="0" fontId="28" fillId="0" borderId="0" xfId="0" applyFont="1" applyFill="1" applyBorder="1" applyAlignment="1"/>
    <xf numFmtId="0" fontId="28" fillId="0" borderId="0" xfId="0" applyFont="1" applyBorder="1"/>
    <xf numFmtId="0" fontId="32" fillId="0" borderId="38" xfId="0" applyFont="1" applyBorder="1" applyAlignment="1">
      <alignment horizontal="left"/>
    </xf>
    <xf numFmtId="2" fontId="32" fillId="9" borderId="44" xfId="0" applyNumberFormat="1" applyFont="1" applyFill="1" applyBorder="1"/>
    <xf numFmtId="0" fontId="28" fillId="0" borderId="48" xfId="0" applyFont="1" applyBorder="1" applyAlignment="1">
      <alignment horizontal="center" wrapText="1"/>
    </xf>
    <xf numFmtId="0" fontId="28" fillId="0" borderId="30" xfId="0" applyFont="1" applyFill="1" applyBorder="1" applyAlignment="1"/>
    <xf numFmtId="0" fontId="28" fillId="0" borderId="3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2" fontId="28" fillId="0" borderId="0" xfId="0" applyNumberFormat="1" applyFont="1"/>
    <xf numFmtId="2" fontId="28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2" fontId="28" fillId="0" borderId="0" xfId="0" applyNumberFormat="1" applyFont="1" applyAlignment="1">
      <alignment horizontal="center"/>
    </xf>
    <xf numFmtId="0" fontId="32" fillId="9" borderId="46" xfId="0" applyFont="1" applyFill="1" applyBorder="1"/>
    <xf numFmtId="0" fontId="32" fillId="0" borderId="32" xfId="0" applyFont="1" applyFill="1" applyBorder="1"/>
    <xf numFmtId="2" fontId="28" fillId="0" borderId="34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2" fontId="32" fillId="9" borderId="44" xfId="0" applyNumberFormat="1" applyFont="1" applyFill="1" applyBorder="1" applyAlignment="1"/>
    <xf numFmtId="2" fontId="32" fillId="9" borderId="46" xfId="0" applyNumberFormat="1" applyFont="1" applyFill="1" applyBorder="1" applyAlignment="1"/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8" fillId="0" borderId="4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9" borderId="44" xfId="0" applyFont="1" applyFill="1" applyBorder="1" applyAlignment="1"/>
    <xf numFmtId="0" fontId="32" fillId="9" borderId="47" xfId="0" applyFont="1" applyFill="1" applyBorder="1" applyAlignment="1"/>
    <xf numFmtId="0" fontId="28" fillId="0" borderId="41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2" fontId="28" fillId="0" borderId="41" xfId="0" applyNumberFormat="1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wrapText="1"/>
    </xf>
    <xf numFmtId="0" fontId="32" fillId="0" borderId="0" xfId="0" applyFont="1" applyAlignment="1">
      <alignment horizontal="left" wrapText="1"/>
    </xf>
    <xf numFmtId="2" fontId="32" fillId="0" borderId="0" xfId="0" applyNumberFormat="1" applyFont="1"/>
    <xf numFmtId="0" fontId="15" fillId="0" borderId="33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32" fillId="0" borderId="81" xfId="0" applyFont="1" applyBorder="1" applyAlignment="1">
      <alignment horizontal="left"/>
    </xf>
    <xf numFmtId="0" fontId="32" fillId="0" borderId="38" xfId="0" applyFont="1" applyBorder="1" applyAlignment="1"/>
    <xf numFmtId="0" fontId="15" fillId="0" borderId="33" xfId="0" applyFont="1" applyBorder="1"/>
    <xf numFmtId="2" fontId="34" fillId="0" borderId="48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30" xfId="0" applyFont="1" applyBorder="1" applyAlignment="1">
      <alignment horizontal="left" wrapText="1"/>
    </xf>
    <xf numFmtId="9" fontId="32" fillId="0" borderId="48" xfId="0" applyNumberFormat="1" applyFont="1" applyBorder="1" applyAlignment="1"/>
    <xf numFmtId="2" fontId="28" fillId="0" borderId="44" xfId="0" applyNumberFormat="1" applyFont="1" applyBorder="1" applyAlignment="1">
      <alignment horizontal="center"/>
    </xf>
    <xf numFmtId="10" fontId="8" fillId="0" borderId="0" xfId="0" applyNumberFormat="1" applyFont="1" applyAlignment="1">
      <alignment horizontal="center" vertical="center"/>
    </xf>
    <xf numFmtId="10" fontId="10" fillId="0" borderId="50" xfId="0" applyNumberFormat="1" applyFont="1" applyBorder="1" applyAlignment="1">
      <alignment horizontal="center" vertical="center"/>
    </xf>
    <xf numFmtId="10" fontId="10" fillId="0" borderId="53" xfId="0" applyNumberFormat="1" applyFont="1" applyBorder="1" applyAlignment="1">
      <alignment horizontal="center" vertical="center"/>
    </xf>
    <xf numFmtId="0" fontId="10" fillId="0" borderId="58" xfId="0" applyFont="1" applyBorder="1" applyAlignment="1">
      <alignment horizontal="left" vertical="center"/>
    </xf>
    <xf numFmtId="2" fontId="5" fillId="0" borderId="61" xfId="1" applyNumberFormat="1" applyFont="1" applyBorder="1" applyAlignment="1" applyProtection="1">
      <alignment horizontal="centerContinuous" vertical="center"/>
      <protection locked="0"/>
    </xf>
    <xf numFmtId="2" fontId="5" fillId="0" borderId="75" xfId="1" applyNumberFormat="1" applyFont="1" applyBorder="1" applyAlignment="1">
      <alignment horizontal="centerContinuous" vertical="center"/>
    </xf>
    <xf numFmtId="2" fontId="7" fillId="0" borderId="77" xfId="1" applyNumberFormat="1" applyBorder="1" applyAlignment="1" applyProtection="1">
      <alignment horizontal="center" vertical="center"/>
      <protection locked="0"/>
    </xf>
    <xf numFmtId="2" fontId="7" fillId="0" borderId="75" xfId="1" applyNumberFormat="1" applyBorder="1" applyAlignment="1" applyProtection="1">
      <alignment horizontal="center" vertical="center"/>
      <protection locked="0"/>
    </xf>
    <xf numFmtId="2" fontId="7" fillId="0" borderId="86" xfId="1" applyNumberFormat="1" applyBorder="1" applyAlignment="1" applyProtection="1">
      <alignment horizontal="center" vertical="center"/>
      <protection locked="0"/>
    </xf>
    <xf numFmtId="2" fontId="7" fillId="7" borderId="0" xfId="1" applyNumberFormat="1" applyFill="1" applyAlignment="1" applyProtection="1">
      <alignment vertical="center"/>
      <protection locked="0"/>
    </xf>
    <xf numFmtId="10" fontId="7" fillId="7" borderId="80" xfId="1" applyNumberFormat="1" applyFill="1" applyBorder="1" applyAlignment="1">
      <alignment horizontal="centerContinuous" vertical="center"/>
    </xf>
    <xf numFmtId="166" fontId="7" fillId="0" borderId="80" xfId="1" applyNumberFormat="1" applyBorder="1" applyAlignment="1">
      <alignment horizontal="center" vertical="center"/>
    </xf>
    <xf numFmtId="4" fontId="13" fillId="0" borderId="0" xfId="1" applyNumberFormat="1" applyFont="1" applyAlignment="1">
      <alignment vertical="center"/>
    </xf>
    <xf numFmtId="2" fontId="7" fillId="0" borderId="0" xfId="1" applyNumberFormat="1" applyAlignment="1">
      <alignment vertical="center"/>
    </xf>
    <xf numFmtId="0" fontId="8" fillId="0" borderId="0" xfId="0" applyFont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10" fillId="0" borderId="62" xfId="0" applyFont="1" applyBorder="1" applyAlignment="1">
      <alignment horizontal="left" vertical="center"/>
    </xf>
    <xf numFmtId="2" fontId="5" fillId="0" borderId="30" xfId="1" applyNumberFormat="1" applyFont="1" applyBorder="1" applyAlignment="1">
      <alignment horizontal="centerContinuous" vertical="center"/>
    </xf>
    <xf numFmtId="2" fontId="5" fillId="0" borderId="41" xfId="1" applyNumberFormat="1" applyFont="1" applyBorder="1" applyAlignment="1">
      <alignment horizontal="centerContinuous" vertical="center"/>
    </xf>
    <xf numFmtId="2" fontId="5" fillId="0" borderId="76" xfId="1" applyNumberFormat="1" applyFont="1" applyBorder="1" applyAlignment="1">
      <alignment horizontal="centerContinuous" vertical="center"/>
    </xf>
    <xf numFmtId="2" fontId="5" fillId="8" borderId="48" xfId="1" applyNumberFormat="1" applyFont="1" applyFill="1" applyBorder="1" applyAlignment="1">
      <alignment horizontal="center" vertical="center"/>
    </xf>
    <xf numFmtId="2" fontId="5" fillId="8" borderId="78" xfId="1" applyNumberFormat="1" applyFont="1" applyFill="1" applyBorder="1" applyAlignment="1">
      <alignment horizontal="center" vertical="center"/>
    </xf>
    <xf numFmtId="2" fontId="5" fillId="8" borderId="87" xfId="1" applyNumberFormat="1" applyFont="1" applyFill="1" applyBorder="1" applyAlignment="1">
      <alignment horizontal="center" vertical="center"/>
    </xf>
    <xf numFmtId="2" fontId="5" fillId="8" borderId="84" xfId="1" applyNumberFormat="1" applyFont="1" applyFill="1" applyBorder="1" applyAlignment="1">
      <alignment horizontal="center" vertical="center"/>
    </xf>
    <xf numFmtId="2" fontId="7" fillId="7" borderId="0" xfId="1" applyNumberFormat="1" applyFill="1" applyAlignment="1">
      <alignment vertical="center"/>
    </xf>
    <xf numFmtId="2" fontId="7" fillId="7" borderId="79" xfId="1" applyNumberFormat="1" applyFill="1" applyBorder="1" applyAlignment="1">
      <alignment vertical="center"/>
    </xf>
    <xf numFmtId="10" fontId="5" fillId="8" borderId="80" xfId="1" applyNumberFormat="1" applyFont="1" applyFill="1" applyBorder="1" applyAlignment="1">
      <alignment horizontal="center" vertical="center"/>
    </xf>
    <xf numFmtId="10" fontId="7" fillId="7" borderId="64" xfId="1" applyNumberFormat="1" applyFill="1" applyBorder="1" applyAlignment="1">
      <alignment horizontal="center" vertical="center"/>
    </xf>
    <xf numFmtId="166" fontId="7" fillId="8" borderId="80" xfId="1" applyNumberForma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49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2" fontId="5" fillId="0" borderId="61" xfId="1" applyNumberFormat="1" applyFont="1" applyBorder="1" applyAlignment="1">
      <alignment horizontal="center" vertical="center"/>
    </xf>
    <xf numFmtId="2" fontId="5" fillId="0" borderId="66" xfId="1" applyNumberFormat="1" applyFont="1" applyBorder="1" applyAlignment="1">
      <alignment vertical="center"/>
    </xf>
    <xf numFmtId="2" fontId="5" fillId="0" borderId="71" xfId="1" applyNumberFormat="1" applyFont="1" applyBorder="1" applyAlignment="1">
      <alignment horizontal="center" vertical="center"/>
    </xf>
    <xf numFmtId="1" fontId="24" fillId="0" borderId="77" xfId="1" applyNumberFormat="1" applyFont="1" applyBorder="1" applyAlignment="1">
      <alignment horizontal="center" vertical="center"/>
    </xf>
    <xf numFmtId="1" fontId="24" fillId="0" borderId="86" xfId="1" applyNumberFormat="1" applyFont="1" applyBorder="1" applyAlignment="1">
      <alignment horizontal="center" vertical="center"/>
    </xf>
    <xf numFmtId="1" fontId="5" fillId="7" borderId="57" xfId="1" applyNumberFormat="1" applyFont="1" applyFill="1" applyBorder="1" applyAlignment="1">
      <alignment horizontal="center" vertical="center"/>
    </xf>
    <xf numFmtId="2" fontId="5" fillId="0" borderId="63" xfId="1" applyNumberFormat="1" applyFont="1" applyBorder="1" applyAlignment="1">
      <alignment vertical="center"/>
    </xf>
    <xf numFmtId="2" fontId="5" fillId="0" borderId="80" xfId="1" applyNumberFormat="1" applyFont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44" fontId="0" fillId="0" borderId="36" xfId="0" applyNumberFormat="1" applyFill="1" applyBorder="1" applyAlignment="1">
      <alignment horizontal="left" vertical="center"/>
    </xf>
    <xf numFmtId="2" fontId="8" fillId="0" borderId="0" xfId="0" applyNumberFormat="1" applyFont="1" applyAlignment="1">
      <alignment vertical="center"/>
    </xf>
    <xf numFmtId="2" fontId="10" fillId="0" borderId="5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11" fillId="7" borderId="47" xfId="1" applyNumberFormat="1" applyFont="1" applyFill="1" applyBorder="1" applyAlignment="1">
      <alignment horizontal="center" vertical="center"/>
    </xf>
    <xf numFmtId="164" fontId="11" fillId="7" borderId="38" xfId="1" applyNumberFormat="1" applyFont="1" applyFill="1" applyBorder="1" applyAlignment="1">
      <alignment horizontal="center" vertical="center"/>
    </xf>
    <xf numFmtId="164" fontId="11" fillId="7" borderId="88" xfId="1" applyNumberFormat="1" applyFont="1" applyFill="1" applyBorder="1" applyAlignment="1">
      <alignment horizontal="center" vertical="center"/>
    </xf>
    <xf numFmtId="164" fontId="7" fillId="7" borderId="0" xfId="1" applyNumberFormat="1" applyFill="1" applyAlignment="1">
      <alignment horizontal="right" vertical="center"/>
    </xf>
    <xf numFmtId="164" fontId="10" fillId="7" borderId="80" xfId="1" applyNumberFormat="1" applyFont="1" applyFill="1" applyBorder="1" applyAlignment="1">
      <alignment horizontal="center" vertical="center"/>
    </xf>
    <xf numFmtId="165" fontId="10" fillId="0" borderId="80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0" fillId="0" borderId="50" xfId="0" applyNumberFormat="1" applyFont="1" applyBorder="1" applyAlignment="1">
      <alignment vertical="center"/>
    </xf>
    <xf numFmtId="4" fontId="8" fillId="0" borderId="53" xfId="0" applyNumberFormat="1" applyFont="1" applyBorder="1" applyAlignment="1">
      <alignment vertical="center"/>
    </xf>
    <xf numFmtId="2" fontId="7" fillId="0" borderId="0" xfId="1" applyNumberFormat="1" applyAlignment="1">
      <alignment horizontal="center" vertical="center"/>
    </xf>
    <xf numFmtId="10" fontId="11" fillId="0" borderId="46" xfId="1" applyNumberFormat="1" applyFont="1" applyBorder="1" applyAlignment="1">
      <alignment horizontal="center" vertical="center"/>
    </xf>
    <xf numFmtId="10" fontId="11" fillId="0" borderId="85" xfId="1" applyNumberFormat="1" applyFont="1" applyBorder="1" applyAlignment="1">
      <alignment horizontal="center" vertical="center"/>
    </xf>
    <xf numFmtId="10" fontId="7" fillId="7" borderId="0" xfId="1" applyNumberFormat="1" applyFill="1" applyAlignment="1">
      <alignment horizontal="center" vertical="center"/>
    </xf>
    <xf numFmtId="10" fontId="4" fillId="0" borderId="64" xfId="1" applyNumberFormat="1" applyFont="1" applyBorder="1" applyAlignment="1">
      <alignment horizontal="center" vertical="center"/>
    </xf>
    <xf numFmtId="44" fontId="21" fillId="5" borderId="25" xfId="0" applyNumberFormat="1" applyFont="1" applyFill="1" applyBorder="1" applyAlignment="1">
      <alignment horizontal="center" vertical="center" shrinkToFit="1"/>
    </xf>
    <xf numFmtId="0" fontId="19" fillId="6" borderId="33" xfId="0" applyFont="1" applyFill="1" applyBorder="1" applyAlignment="1">
      <alignment horizontal="center" vertical="center" wrapText="1"/>
    </xf>
    <xf numFmtId="2" fontId="21" fillId="6" borderId="34" xfId="0" applyNumberFormat="1" applyFont="1" applyFill="1" applyBorder="1" applyAlignment="1">
      <alignment horizontal="center" vertical="center" shrinkToFit="1"/>
    </xf>
    <xf numFmtId="44" fontId="21" fillId="6" borderId="31" xfId="0" applyNumberFormat="1" applyFont="1" applyFill="1" applyBorder="1" applyAlignment="1">
      <alignment horizontal="left" vertical="center" shrinkToFit="1"/>
    </xf>
    <xf numFmtId="44" fontId="19" fillId="6" borderId="31" xfId="0" applyNumberFormat="1" applyFont="1" applyFill="1" applyBorder="1" applyAlignment="1">
      <alignment horizontal="center" vertical="center" wrapText="1"/>
    </xf>
    <xf numFmtId="0" fontId="12" fillId="0" borderId="80" xfId="0" applyFont="1" applyFill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0" fontId="20" fillId="4" borderId="135" xfId="0" applyFont="1" applyFill="1" applyBorder="1" applyAlignment="1">
      <alignment horizontal="center" vertical="center" wrapText="1"/>
    </xf>
    <xf numFmtId="0" fontId="12" fillId="2" borderId="136" xfId="0" applyFont="1" applyFill="1" applyBorder="1" applyAlignment="1">
      <alignment horizontal="center" vertical="top" wrapText="1"/>
    </xf>
    <xf numFmtId="0" fontId="12" fillId="2" borderId="132" xfId="0" applyFont="1" applyFill="1" applyBorder="1" applyAlignment="1">
      <alignment horizontal="center" vertical="center" wrapText="1"/>
    </xf>
    <xf numFmtId="0" fontId="12" fillId="2" borderId="132" xfId="0" applyFont="1" applyFill="1" applyBorder="1" applyAlignment="1">
      <alignment horizontal="left" vertical="center" wrapText="1"/>
    </xf>
    <xf numFmtId="0" fontId="12" fillId="2" borderId="89" xfId="0" applyFont="1" applyFill="1" applyBorder="1" applyAlignment="1">
      <alignment horizontal="center" vertical="center" wrapText="1"/>
    </xf>
    <xf numFmtId="0" fontId="12" fillId="2" borderId="133" xfId="0" applyFont="1" applyFill="1" applyBorder="1" applyAlignment="1">
      <alignment horizontal="left" vertical="center" wrapText="1"/>
    </xf>
    <xf numFmtId="0" fontId="12" fillId="2" borderId="134" xfId="0" applyFont="1" applyFill="1" applyBorder="1" applyAlignment="1">
      <alignment horizontal="center" vertical="center" wrapText="1"/>
    </xf>
    <xf numFmtId="0" fontId="12" fillId="2" borderId="131" xfId="0" applyFont="1" applyFill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44" fontId="21" fillId="5" borderId="12" xfId="0" applyNumberFormat="1" applyFont="1" applyFill="1" applyBorder="1" applyAlignment="1">
      <alignment horizontal="center" vertical="center" shrinkToFit="1"/>
    </xf>
    <xf numFmtId="167" fontId="11" fillId="0" borderId="46" xfId="2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vertical="center"/>
    </xf>
    <xf numFmtId="2" fontId="5" fillId="0" borderId="50" xfId="1" applyNumberFormat="1" applyFont="1" applyBorder="1" applyAlignment="1">
      <alignment vertical="center"/>
    </xf>
    <xf numFmtId="0" fontId="18" fillId="0" borderId="129" xfId="0" applyFont="1" applyFill="1" applyBorder="1" applyAlignment="1">
      <alignment horizontal="left" wrapText="1"/>
    </xf>
    <xf numFmtId="0" fontId="18" fillId="0" borderId="122" xfId="0" applyFont="1" applyFill="1" applyBorder="1" applyAlignment="1">
      <alignment horizontal="left" wrapText="1"/>
    </xf>
    <xf numFmtId="44" fontId="26" fillId="0" borderId="31" xfId="0" applyNumberFormat="1" applyFont="1" applyFill="1" applyBorder="1" applyAlignment="1">
      <alignment horizontal="right" vertical="center" shrinkToFit="1"/>
    </xf>
    <xf numFmtId="0" fontId="0" fillId="0" borderId="28" xfId="0" applyFill="1" applyBorder="1" applyAlignment="1">
      <alignment horizontal="left" vertical="top"/>
    </xf>
    <xf numFmtId="0" fontId="18" fillId="0" borderId="140" xfId="0" applyFont="1" applyFill="1" applyBorder="1" applyAlignment="1">
      <alignment horizontal="left" vertical="center" wrapText="1"/>
    </xf>
    <xf numFmtId="0" fontId="18" fillId="0" borderId="141" xfId="0" applyFont="1" applyFill="1" applyBorder="1" applyAlignment="1">
      <alignment horizontal="left" vertical="center" wrapText="1"/>
    </xf>
    <xf numFmtId="44" fontId="26" fillId="0" borderId="142" xfId="0" applyNumberFormat="1" applyFont="1" applyFill="1" applyBorder="1" applyAlignment="1">
      <alignment horizontal="right" vertical="center" shrinkToFit="1"/>
    </xf>
    <xf numFmtId="44" fontId="19" fillId="0" borderId="143" xfId="0" applyNumberFormat="1" applyFont="1" applyFill="1" applyBorder="1" applyAlignment="1">
      <alignment horizontal="center" vertical="center" wrapText="1"/>
    </xf>
    <xf numFmtId="2" fontId="28" fillId="0" borderId="47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0" fontId="3" fillId="0" borderId="64" xfId="0" applyFont="1" applyFill="1" applyBorder="1" applyAlignment="1">
      <alignment horizontal="left"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64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right" vertical="center" wrapText="1"/>
    </xf>
    <xf numFmtId="0" fontId="12" fillId="0" borderId="119" xfId="0" applyFont="1" applyFill="1" applyBorder="1" applyAlignment="1">
      <alignment horizontal="right" vertical="center" wrapText="1"/>
    </xf>
    <xf numFmtId="0" fontId="12" fillId="0" borderId="120" xfId="0" applyFont="1" applyFill="1" applyBorder="1" applyAlignment="1">
      <alignment horizontal="right" vertical="center" wrapText="1"/>
    </xf>
    <xf numFmtId="0" fontId="12" fillId="0" borderId="121" xfId="0" applyFont="1" applyFill="1" applyBorder="1" applyAlignment="1">
      <alignment horizontal="right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12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top" wrapText="1"/>
    </xf>
    <xf numFmtId="0" fontId="1" fillId="0" borderId="82" xfId="0" applyFont="1" applyFill="1" applyBorder="1" applyAlignment="1">
      <alignment horizontal="center" vertical="top" wrapText="1"/>
    </xf>
    <xf numFmtId="44" fontId="25" fillId="10" borderId="139" xfId="0" applyNumberFormat="1" applyFont="1" applyFill="1" applyBorder="1" applyAlignment="1">
      <alignment horizontal="center" vertical="center" wrapText="1"/>
    </xf>
    <xf numFmtId="44" fontId="25" fillId="10" borderId="9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38" xfId="0" applyFont="1" applyFill="1" applyBorder="1" applyAlignment="1">
      <alignment horizontal="center" vertical="center" wrapText="1"/>
    </xf>
    <xf numFmtId="0" fontId="19" fillId="0" borderId="13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 wrapText="1"/>
    </xf>
    <xf numFmtId="0" fontId="24" fillId="0" borderId="64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44" fontId="12" fillId="0" borderId="49" xfId="0" applyNumberFormat="1" applyFont="1" applyFill="1" applyBorder="1" applyAlignment="1">
      <alignment horizontal="center" vertical="center" wrapText="1"/>
    </xf>
    <xf numFmtId="44" fontId="12" fillId="0" borderId="51" xfId="0" applyNumberFormat="1" applyFont="1" applyFill="1" applyBorder="1" applyAlignment="1">
      <alignment horizontal="center" vertical="center" wrapText="1"/>
    </xf>
    <xf numFmtId="44" fontId="12" fillId="0" borderId="61" xfId="0" applyNumberFormat="1" applyFont="1" applyFill="1" applyBorder="1" applyAlignment="1">
      <alignment horizontal="center" vertical="center" wrapText="1"/>
    </xf>
    <xf numFmtId="44" fontId="12" fillId="0" borderId="79" xfId="0" applyNumberFormat="1" applyFont="1" applyFill="1" applyBorder="1" applyAlignment="1">
      <alignment horizontal="center" vertical="center" wrapText="1"/>
    </xf>
    <xf numFmtId="44" fontId="12" fillId="0" borderId="57" xfId="0" applyNumberFormat="1" applyFont="1" applyFill="1" applyBorder="1" applyAlignment="1">
      <alignment horizontal="center" vertical="center" wrapText="1"/>
    </xf>
    <xf numFmtId="44" fontId="12" fillId="0" borderId="62" xfId="0" applyNumberFormat="1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left" vertical="center" wrapText="1"/>
    </xf>
    <xf numFmtId="0" fontId="12" fillId="0" borderId="64" xfId="0" applyFont="1" applyFill="1" applyBorder="1" applyAlignment="1">
      <alignment horizontal="left" vertical="center" wrapText="1"/>
    </xf>
    <xf numFmtId="0" fontId="12" fillId="0" borderId="135" xfId="0" applyFont="1" applyFill="1" applyBorder="1" applyAlignment="1">
      <alignment horizontal="center" vertical="center" wrapText="1"/>
    </xf>
    <xf numFmtId="0" fontId="12" fillId="0" borderId="137" xfId="0" applyFont="1" applyFill="1" applyBorder="1" applyAlignment="1">
      <alignment horizontal="center" vertical="center" wrapText="1"/>
    </xf>
    <xf numFmtId="44" fontId="25" fillId="10" borderId="92" xfId="0" applyNumberFormat="1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2" fontId="28" fillId="0" borderId="41" xfId="0" applyNumberFormat="1" applyFont="1" applyBorder="1" applyAlignment="1">
      <alignment horizontal="center" vertical="center"/>
    </xf>
    <xf numFmtId="2" fontId="28" fillId="0" borderId="34" xfId="0" applyNumberFormat="1" applyFont="1" applyBorder="1" applyAlignment="1">
      <alignment horizontal="center" vertical="center"/>
    </xf>
    <xf numFmtId="2" fontId="34" fillId="0" borderId="44" xfId="0" applyNumberFormat="1" applyFont="1" applyBorder="1" applyAlignment="1">
      <alignment horizontal="left" vertical="center" wrapText="1"/>
    </xf>
    <xf numFmtId="2" fontId="34" fillId="0" borderId="47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2" fontId="32" fillId="9" borderId="44" xfId="0" applyNumberFormat="1" applyFont="1" applyFill="1" applyBorder="1" applyAlignment="1">
      <alignment horizontal="center"/>
    </xf>
    <xf numFmtId="2" fontId="32" fillId="9" borderId="47" xfId="0" applyNumberFormat="1" applyFont="1" applyFill="1" applyBorder="1" applyAlignment="1">
      <alignment horizontal="center"/>
    </xf>
    <xf numFmtId="0" fontId="28" fillId="9" borderId="44" xfId="0" applyFont="1" applyFill="1" applyBorder="1" applyAlignment="1">
      <alignment horizontal="center"/>
    </xf>
    <xf numFmtId="0" fontId="28" fillId="9" borderId="46" xfId="0" applyFont="1" applyFill="1" applyBorder="1" applyAlignment="1">
      <alignment horizontal="center"/>
    </xf>
    <xf numFmtId="0" fontId="28" fillId="9" borderId="47" xfId="0" applyFont="1" applyFill="1" applyBorder="1" applyAlignment="1">
      <alignment horizontal="center"/>
    </xf>
    <xf numFmtId="0" fontId="32" fillId="0" borderId="0" xfId="0" applyFont="1" applyBorder="1" applyAlignment="1">
      <alignment horizontal="right"/>
    </xf>
    <xf numFmtId="0" fontId="32" fillId="0" borderId="30" xfId="0" applyFont="1" applyBorder="1" applyAlignment="1">
      <alignment horizontal="right"/>
    </xf>
    <xf numFmtId="0" fontId="32" fillId="9" borderId="44" xfId="0" applyFont="1" applyFill="1" applyBorder="1" applyAlignment="1">
      <alignment horizontal="center"/>
    </xf>
    <xf numFmtId="0" fontId="32" fillId="9" borderId="46" xfId="0" applyFont="1" applyFill="1" applyBorder="1" applyAlignment="1">
      <alignment horizontal="center"/>
    </xf>
    <xf numFmtId="0" fontId="32" fillId="9" borderId="47" xfId="0" applyFont="1" applyFill="1" applyBorder="1" applyAlignment="1">
      <alignment horizontal="center"/>
    </xf>
    <xf numFmtId="2" fontId="28" fillId="0" borderId="43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2" fontId="34" fillId="0" borderId="44" xfId="0" applyNumberFormat="1" applyFont="1" applyBorder="1" applyAlignment="1">
      <alignment horizontal="left" vertical="center"/>
    </xf>
    <xf numFmtId="2" fontId="34" fillId="0" borderId="47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2" fontId="11" fillId="0" borderId="44" xfId="1" applyNumberFormat="1" applyFont="1" applyBorder="1" applyAlignment="1">
      <alignment horizontal="left" vertical="center"/>
    </xf>
    <xf numFmtId="2" fontId="11" fillId="0" borderId="47" xfId="1" applyNumberFormat="1" applyFont="1" applyBorder="1" applyAlignment="1">
      <alignment horizontal="left" vertical="center"/>
    </xf>
    <xf numFmtId="2" fontId="8" fillId="0" borderId="0" xfId="1" applyNumberFormat="1" applyFont="1" applyAlignment="1">
      <alignment horizontal="center"/>
    </xf>
    <xf numFmtId="2" fontId="5" fillId="0" borderId="52" xfId="1" applyNumberFormat="1" applyFont="1" applyBorder="1" applyAlignment="1" applyProtection="1">
      <alignment horizontal="center" vertical="center"/>
      <protection locked="0"/>
    </xf>
    <xf numFmtId="2" fontId="5" fillId="0" borderId="54" xfId="1" applyNumberFormat="1" applyFont="1" applyBorder="1" applyAlignment="1" applyProtection="1">
      <alignment horizontal="center" vertical="center"/>
      <protection locked="0"/>
    </xf>
    <xf numFmtId="2" fontId="11" fillId="0" borderId="44" xfId="1" applyNumberFormat="1" applyFont="1" applyBorder="1" applyAlignment="1">
      <alignment vertical="center"/>
    </xf>
    <xf numFmtId="2" fontId="11" fillId="0" borderId="47" xfId="1" applyNumberFormat="1" applyFont="1" applyBorder="1" applyAlignment="1">
      <alignment vertical="center"/>
    </xf>
    <xf numFmtId="0" fontId="4" fillId="0" borderId="46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59" xfId="0" applyFont="1" applyBorder="1" applyAlignment="1">
      <alignment horizontal="left" wrapText="1"/>
    </xf>
    <xf numFmtId="0" fontId="4" fillId="0" borderId="60" xfId="0" applyFont="1" applyBorder="1" applyAlignment="1">
      <alignment horizontal="left" wrapText="1"/>
    </xf>
    <xf numFmtId="2" fontId="5" fillId="0" borderId="63" xfId="1" applyNumberFormat="1" applyFont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2" fontId="5" fillId="0" borderId="67" xfId="1" applyNumberFormat="1" applyFont="1" applyBorder="1" applyAlignment="1">
      <alignment horizontal="center" vertical="center"/>
    </xf>
    <xf numFmtId="2" fontId="5" fillId="0" borderId="68" xfId="1" applyNumberFormat="1" applyFont="1" applyBorder="1" applyAlignment="1">
      <alignment horizontal="center" vertical="center"/>
    </xf>
    <xf numFmtId="2" fontId="5" fillId="0" borderId="32" xfId="1" applyNumberFormat="1" applyFont="1" applyBorder="1" applyAlignment="1">
      <alignment horizontal="center" vertical="center"/>
    </xf>
    <xf numFmtId="2" fontId="5" fillId="0" borderId="30" xfId="1" applyNumberFormat="1" applyFont="1" applyBorder="1" applyAlignment="1">
      <alignment horizontal="center" vertical="center"/>
    </xf>
    <xf numFmtId="2" fontId="5" fillId="0" borderId="33" xfId="1" applyNumberFormat="1" applyFont="1" applyBorder="1" applyAlignment="1">
      <alignment horizontal="center" vertical="center"/>
    </xf>
    <xf numFmtId="2" fontId="5" fillId="0" borderId="31" xfId="1" applyNumberFormat="1" applyFont="1" applyBorder="1" applyAlignment="1">
      <alignment horizontal="center" vertical="center"/>
    </xf>
    <xf numFmtId="2" fontId="5" fillId="0" borderId="69" xfId="1" applyNumberFormat="1" applyFont="1" applyBorder="1" applyAlignment="1">
      <alignment horizontal="center" vertical="center" wrapText="1"/>
    </xf>
    <xf numFmtId="2" fontId="5" fillId="0" borderId="43" xfId="1" applyNumberFormat="1" applyFont="1" applyBorder="1" applyAlignment="1">
      <alignment horizontal="center" vertical="center" wrapText="1"/>
    </xf>
    <xf numFmtId="2" fontId="5" fillId="0" borderId="34" xfId="1" applyNumberFormat="1" applyFont="1" applyBorder="1" applyAlignment="1">
      <alignment horizontal="center" vertical="center" wrapText="1"/>
    </xf>
    <xf numFmtId="2" fontId="5" fillId="0" borderId="70" xfId="1" applyNumberFormat="1" applyFont="1" applyBorder="1" applyAlignment="1">
      <alignment horizontal="center" vertical="center"/>
    </xf>
    <xf numFmtId="2" fontId="5" fillId="0" borderId="72" xfId="1" applyNumberFormat="1" applyFont="1" applyBorder="1" applyAlignment="1">
      <alignment horizontal="center" vertical="center"/>
    </xf>
    <xf numFmtId="2" fontId="5" fillId="0" borderId="74" xfId="1" applyNumberFormat="1" applyFont="1" applyBorder="1" applyAlignment="1">
      <alignment horizontal="center" vertical="center"/>
    </xf>
    <xf numFmtId="2" fontId="5" fillId="0" borderId="64" xfId="1" applyNumberFormat="1" applyFont="1" applyBorder="1" applyAlignment="1">
      <alignment horizontal="center" vertical="center"/>
    </xf>
    <xf numFmtId="2" fontId="5" fillId="0" borderId="65" xfId="1" applyNumberFormat="1" applyFont="1" applyBorder="1" applyAlignment="1">
      <alignment horizontal="center" vertical="center"/>
    </xf>
    <xf numFmtId="2" fontId="5" fillId="0" borderId="73" xfId="1" applyNumberFormat="1" applyFont="1" applyBorder="1" applyAlignment="1" applyProtection="1">
      <alignment horizontal="center" vertical="center"/>
      <protection locked="0"/>
    </xf>
    <xf numFmtId="0" fontId="39" fillId="0" borderId="57" xfId="0" applyFont="1" applyFill="1" applyBorder="1" applyAlignment="1">
      <alignment horizontal="left" vertical="top" wrapText="1"/>
    </xf>
    <xf numFmtId="0" fontId="39" fillId="0" borderId="58" xfId="0" applyFont="1" applyFill="1" applyBorder="1" applyAlignment="1">
      <alignment horizontal="left" vertical="top" wrapText="1"/>
    </xf>
    <xf numFmtId="0" fontId="39" fillId="0" borderId="62" xfId="0" applyFont="1" applyFill="1" applyBorder="1" applyAlignment="1">
      <alignment horizontal="left" vertical="top" wrapText="1"/>
    </xf>
    <xf numFmtId="0" fontId="40" fillId="0" borderId="52" xfId="0" applyFont="1" applyBorder="1" applyAlignment="1">
      <alignment vertical="center"/>
    </xf>
  </cellXfs>
  <cellStyles count="3">
    <cellStyle name="Normal" xfId="0" builtinId="0"/>
    <cellStyle name="Normal_Plan1" xfId="1" xr:uid="{694455C1-3A61-4275-9683-AF3243BE8A8C}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5"/>
  <sheetViews>
    <sheetView tabSelected="1" view="pageBreakPreview" topLeftCell="A142" zoomScaleNormal="100" zoomScaleSheetLayoutView="100" workbookViewId="0">
      <selection activeCell="F148" sqref="F148"/>
    </sheetView>
  </sheetViews>
  <sheetFormatPr defaultRowHeight="12.75"/>
  <cols>
    <col min="1" max="1" width="8.6640625" customWidth="1"/>
    <col min="2" max="2" width="17.5" customWidth="1"/>
    <col min="3" max="3" width="78.83203125" customWidth="1"/>
    <col min="4" max="4" width="8.33203125" customWidth="1"/>
    <col min="5" max="5" width="10.83203125" customWidth="1"/>
    <col min="6" max="6" width="14.6640625" style="39" customWidth="1"/>
    <col min="7" max="7" width="15.5" style="41" customWidth="1"/>
    <col min="8" max="8" width="15.5" style="39" customWidth="1"/>
    <col min="9" max="9" width="17.1640625" style="41" customWidth="1"/>
    <col min="10" max="10" width="14.33203125" bestFit="1" customWidth="1"/>
    <col min="11" max="11" width="14.5" bestFit="1" customWidth="1"/>
  </cols>
  <sheetData>
    <row r="1" spans="1:10" ht="20.100000000000001" customHeight="1" thickBot="1">
      <c r="A1" s="493" t="s">
        <v>507</v>
      </c>
      <c r="B1" s="494"/>
      <c r="C1" s="494"/>
      <c r="D1" s="494"/>
      <c r="E1" s="494"/>
      <c r="F1" s="494"/>
      <c r="G1" s="494"/>
      <c r="H1" s="494"/>
      <c r="I1" s="495"/>
    </row>
    <row r="2" spans="1:10" ht="12" customHeight="1" thickBot="1">
      <c r="A2" s="577" t="s">
        <v>506</v>
      </c>
      <c r="B2" s="578"/>
      <c r="C2" s="579"/>
      <c r="D2" s="489" t="s">
        <v>348</v>
      </c>
      <c r="E2" s="490"/>
      <c r="F2" s="489" t="s">
        <v>500</v>
      </c>
      <c r="G2" s="490"/>
      <c r="H2" s="496" t="s">
        <v>301</v>
      </c>
      <c r="I2" s="497"/>
    </row>
    <row r="3" spans="1:10" ht="18.75" customHeight="1" thickBot="1">
      <c r="A3" s="461" t="s">
        <v>371</v>
      </c>
      <c r="B3" s="462"/>
      <c r="C3" s="463"/>
      <c r="D3" s="489"/>
      <c r="E3" s="490"/>
      <c r="F3" s="489"/>
      <c r="G3" s="490"/>
      <c r="H3" s="498"/>
      <c r="I3" s="499"/>
    </row>
    <row r="4" spans="1:10" ht="16.5" customHeight="1" thickBot="1">
      <c r="A4" s="461" t="s">
        <v>350</v>
      </c>
      <c r="B4" s="462"/>
      <c r="C4" s="463"/>
      <c r="D4" s="491"/>
      <c r="E4" s="492"/>
      <c r="F4" s="491"/>
      <c r="G4" s="492"/>
      <c r="H4" s="500"/>
      <c r="I4" s="501"/>
    </row>
    <row r="5" spans="1:10" ht="24" customHeight="1" thickBot="1">
      <c r="A5" s="464" t="s">
        <v>349</v>
      </c>
      <c r="B5" s="465"/>
      <c r="C5" s="466"/>
      <c r="D5" s="502" t="s">
        <v>351</v>
      </c>
      <c r="E5" s="503"/>
      <c r="F5" s="503"/>
      <c r="G5" s="503"/>
      <c r="H5" s="433" t="s">
        <v>352</v>
      </c>
      <c r="I5" s="433" t="s">
        <v>353</v>
      </c>
    </row>
    <row r="6" spans="1:10" ht="6.75" customHeight="1" thickBot="1">
      <c r="A6" s="44"/>
      <c r="B6" s="43"/>
      <c r="C6" s="43"/>
      <c r="D6" s="479"/>
      <c r="E6" s="479"/>
      <c r="F6" s="479"/>
      <c r="G6" s="479"/>
      <c r="H6" s="479"/>
      <c r="I6" s="480"/>
    </row>
    <row r="7" spans="1:10" s="40" customFormat="1" ht="27.75" customHeight="1">
      <c r="A7" s="473" t="s">
        <v>104</v>
      </c>
      <c r="B7" s="475" t="s">
        <v>356</v>
      </c>
      <c r="C7" s="475" t="s">
        <v>357</v>
      </c>
      <c r="D7" s="477" t="s">
        <v>358</v>
      </c>
      <c r="E7" s="477" t="s">
        <v>359</v>
      </c>
      <c r="F7" s="483" t="s">
        <v>309</v>
      </c>
      <c r="G7" s="477" t="s">
        <v>355</v>
      </c>
      <c r="H7" s="47" t="s">
        <v>354</v>
      </c>
      <c r="I7" s="506" t="s">
        <v>308</v>
      </c>
    </row>
    <row r="8" spans="1:10" s="40" customFormat="1" ht="10.5" customHeight="1">
      <c r="A8" s="474"/>
      <c r="B8" s="476"/>
      <c r="C8" s="476"/>
      <c r="D8" s="478"/>
      <c r="E8" s="478"/>
      <c r="F8" s="484"/>
      <c r="G8" s="478"/>
      <c r="H8" s="48">
        <v>0.22</v>
      </c>
      <c r="I8" s="482"/>
      <c r="J8" s="42"/>
    </row>
    <row r="9" spans="1:10" ht="14.25" customHeight="1">
      <c r="A9" s="49">
        <v>1</v>
      </c>
      <c r="B9" s="50"/>
      <c r="C9" s="51" t="s">
        <v>209</v>
      </c>
      <c r="D9" s="52"/>
      <c r="E9" s="52"/>
      <c r="F9" s="53"/>
      <c r="G9" s="53"/>
      <c r="H9" s="54"/>
      <c r="I9" s="55"/>
      <c r="J9" s="1"/>
    </row>
    <row r="10" spans="1:10" ht="26.25" customHeight="1">
      <c r="A10" s="56" t="s">
        <v>152</v>
      </c>
      <c r="B10" s="57" t="s">
        <v>45</v>
      </c>
      <c r="C10" s="58" t="s">
        <v>46</v>
      </c>
      <c r="D10" s="59" t="s">
        <v>47</v>
      </c>
      <c r="E10" s="60">
        <v>1</v>
      </c>
      <c r="F10" s="61">
        <v>1099.6199999999999</v>
      </c>
      <c r="G10" s="61">
        <f>E10*F10</f>
        <v>1099.6199999999999</v>
      </c>
      <c r="H10" s="62">
        <f>G10*H8+G10</f>
        <v>1341.5364</v>
      </c>
      <c r="I10" s="63">
        <f>H10</f>
        <v>1341.5364</v>
      </c>
      <c r="J10" s="1"/>
    </row>
    <row r="11" spans="1:10" ht="17.25" customHeight="1">
      <c r="A11" s="64"/>
      <c r="B11" s="65"/>
      <c r="C11" s="65"/>
      <c r="D11" s="467" t="s">
        <v>310</v>
      </c>
      <c r="E11" s="468"/>
      <c r="F11" s="468"/>
      <c r="G11" s="468"/>
      <c r="H11" s="469"/>
      <c r="I11" s="66">
        <f>I10</f>
        <v>1341.5364</v>
      </c>
      <c r="J11" s="1"/>
    </row>
    <row r="12" spans="1:10" ht="15" customHeight="1">
      <c r="A12" s="49">
        <v>2</v>
      </c>
      <c r="B12" s="50"/>
      <c r="C12" s="51" t="s">
        <v>193</v>
      </c>
      <c r="D12" s="52"/>
      <c r="E12" s="52"/>
      <c r="F12" s="53"/>
      <c r="G12" s="53"/>
      <c r="H12" s="67"/>
      <c r="I12" s="55"/>
      <c r="J12" s="1"/>
    </row>
    <row r="13" spans="1:10" ht="30.75" customHeight="1">
      <c r="A13" s="68" t="s">
        <v>237</v>
      </c>
      <c r="B13" s="69" t="s">
        <v>155</v>
      </c>
      <c r="C13" s="70" t="s">
        <v>154</v>
      </c>
      <c r="D13" s="71" t="s">
        <v>40</v>
      </c>
      <c r="E13" s="72">
        <v>5.24</v>
      </c>
      <c r="F13" s="73">
        <v>96.37</v>
      </c>
      <c r="G13" s="73">
        <f t="shared" ref="G13:G18" si="0">E13*F13</f>
        <v>504.97880000000004</v>
      </c>
      <c r="H13" s="74">
        <f>G13*H8+G13</f>
        <v>616.07413600000007</v>
      </c>
      <c r="I13" s="75">
        <f t="shared" ref="I13:I18" si="1">H13</f>
        <v>616.07413600000007</v>
      </c>
    </row>
    <row r="14" spans="1:10" ht="31.5" customHeight="1">
      <c r="A14" s="76" t="s">
        <v>153</v>
      </c>
      <c r="B14" s="77" t="s">
        <v>52</v>
      </c>
      <c r="C14" s="78" t="s">
        <v>51</v>
      </c>
      <c r="D14" s="79" t="s">
        <v>40</v>
      </c>
      <c r="E14" s="80">
        <v>2.8</v>
      </c>
      <c r="F14" s="81">
        <v>88.34</v>
      </c>
      <c r="G14" s="81">
        <f t="shared" si="0"/>
        <v>247.352</v>
      </c>
      <c r="H14" s="82">
        <f>G14*H8+G14</f>
        <v>301.76944000000003</v>
      </c>
      <c r="I14" s="83">
        <f t="shared" si="1"/>
        <v>301.76944000000003</v>
      </c>
    </row>
    <row r="15" spans="1:10" ht="30" customHeight="1">
      <c r="A15" s="68" t="s">
        <v>238</v>
      </c>
      <c r="B15" s="69" t="s">
        <v>194</v>
      </c>
      <c r="C15" s="70" t="s">
        <v>195</v>
      </c>
      <c r="D15" s="71" t="s">
        <v>40</v>
      </c>
      <c r="E15" s="72">
        <v>1.68</v>
      </c>
      <c r="F15" s="73">
        <v>9.6300000000000008</v>
      </c>
      <c r="G15" s="73">
        <f t="shared" si="0"/>
        <v>16.1784</v>
      </c>
      <c r="H15" s="74">
        <f>G15*H8+G15</f>
        <v>19.737648</v>
      </c>
      <c r="I15" s="75">
        <f t="shared" si="1"/>
        <v>19.737648</v>
      </c>
    </row>
    <row r="16" spans="1:10" ht="20.25" customHeight="1">
      <c r="A16" s="76" t="s">
        <v>239</v>
      </c>
      <c r="B16" s="77" t="s">
        <v>197</v>
      </c>
      <c r="C16" s="78" t="s">
        <v>196</v>
      </c>
      <c r="D16" s="79" t="s">
        <v>47</v>
      </c>
      <c r="E16" s="80">
        <v>2</v>
      </c>
      <c r="F16" s="81">
        <v>13.56</v>
      </c>
      <c r="G16" s="81">
        <f t="shared" si="0"/>
        <v>27.12</v>
      </c>
      <c r="H16" s="82">
        <f>G16*H8+G16</f>
        <v>33.086399999999998</v>
      </c>
      <c r="I16" s="83">
        <f t="shared" si="1"/>
        <v>33.086399999999998</v>
      </c>
    </row>
    <row r="17" spans="1:9" ht="20.25" customHeight="1">
      <c r="A17" s="68" t="s">
        <v>240</v>
      </c>
      <c r="B17" s="69" t="s">
        <v>201</v>
      </c>
      <c r="C17" s="70" t="s">
        <v>227</v>
      </c>
      <c r="D17" s="71" t="s">
        <v>85</v>
      </c>
      <c r="E17" s="72">
        <v>0.8</v>
      </c>
      <c r="F17" s="73">
        <v>6.06</v>
      </c>
      <c r="G17" s="73">
        <f t="shared" si="0"/>
        <v>4.8479999999999999</v>
      </c>
      <c r="H17" s="74">
        <f>G17*H8+G17</f>
        <v>5.9145599999999998</v>
      </c>
      <c r="I17" s="75">
        <f t="shared" si="1"/>
        <v>5.9145599999999998</v>
      </c>
    </row>
    <row r="18" spans="1:9" ht="24.75" customHeight="1">
      <c r="A18" s="76" t="s">
        <v>241</v>
      </c>
      <c r="B18" s="77" t="s">
        <v>228</v>
      </c>
      <c r="C18" s="78" t="s">
        <v>236</v>
      </c>
      <c r="D18" s="79" t="s">
        <v>40</v>
      </c>
      <c r="E18" s="80">
        <v>20.22</v>
      </c>
      <c r="F18" s="81">
        <v>12.85</v>
      </c>
      <c r="G18" s="81">
        <f t="shared" si="0"/>
        <v>259.827</v>
      </c>
      <c r="H18" s="84">
        <f>G18*H8+G18</f>
        <v>316.98894000000001</v>
      </c>
      <c r="I18" s="83">
        <f t="shared" si="1"/>
        <v>316.98894000000001</v>
      </c>
    </row>
    <row r="19" spans="1:9" ht="19.5" customHeight="1">
      <c r="A19" s="64"/>
      <c r="B19" s="65"/>
      <c r="C19" s="65"/>
      <c r="D19" s="467" t="s">
        <v>310</v>
      </c>
      <c r="E19" s="468"/>
      <c r="F19" s="468"/>
      <c r="G19" s="468"/>
      <c r="H19" s="469"/>
      <c r="I19" s="66">
        <f>SUM(I13:I18)</f>
        <v>1293.5711240000003</v>
      </c>
    </row>
    <row r="20" spans="1:9" s="40" customFormat="1" ht="15" customHeight="1">
      <c r="A20" s="439">
        <v>3</v>
      </c>
      <c r="B20" s="442"/>
      <c r="C20" s="443" t="s">
        <v>210</v>
      </c>
      <c r="D20" s="210"/>
      <c r="E20" s="210"/>
      <c r="F20" s="87"/>
      <c r="G20" s="87"/>
      <c r="H20" s="134"/>
      <c r="I20" s="134"/>
    </row>
    <row r="21" spans="1:9" ht="25.5" customHeight="1">
      <c r="A21" s="434" t="s">
        <v>247</v>
      </c>
      <c r="B21" s="89" t="s">
        <v>62</v>
      </c>
      <c r="C21" s="106" t="s">
        <v>338</v>
      </c>
      <c r="D21" s="90" t="s">
        <v>360</v>
      </c>
      <c r="E21" s="91">
        <v>3.82</v>
      </c>
      <c r="F21" s="92">
        <v>50.24</v>
      </c>
      <c r="G21" s="92">
        <f>E21*F21</f>
        <v>191.91679999999999</v>
      </c>
      <c r="H21" s="93">
        <f>G21*H8+G21</f>
        <v>234.138496</v>
      </c>
      <c r="I21" s="83">
        <f>H21</f>
        <v>234.138496</v>
      </c>
    </row>
    <row r="22" spans="1:9" ht="27.75" customHeight="1">
      <c r="A22" s="94" t="s">
        <v>248</v>
      </c>
      <c r="B22" s="95" t="s">
        <v>30</v>
      </c>
      <c r="C22" s="296" t="s">
        <v>334</v>
      </c>
      <c r="D22" s="96" t="s">
        <v>360</v>
      </c>
      <c r="E22" s="97">
        <v>117.92</v>
      </c>
      <c r="F22" s="98">
        <v>36.119999999999997</v>
      </c>
      <c r="G22" s="98">
        <f>E22*F22</f>
        <v>4259.2703999999994</v>
      </c>
      <c r="H22" s="63">
        <f>G22*H8+G22</f>
        <v>5196.3098879999998</v>
      </c>
      <c r="I22" s="75">
        <f>H22</f>
        <v>5196.3098879999998</v>
      </c>
    </row>
    <row r="23" spans="1:9" ht="31.5" customHeight="1">
      <c r="A23" s="89" t="s">
        <v>249</v>
      </c>
      <c r="B23" s="89" t="s">
        <v>302</v>
      </c>
      <c r="C23" s="106" t="s">
        <v>333</v>
      </c>
      <c r="D23" s="90" t="s">
        <v>360</v>
      </c>
      <c r="E23" s="99">
        <v>14.91</v>
      </c>
      <c r="F23" s="100">
        <v>57.37</v>
      </c>
      <c r="G23" s="101">
        <f>E23*F23</f>
        <v>855.38670000000002</v>
      </c>
      <c r="H23" s="102">
        <f>G23*H8+G23</f>
        <v>1043.571774</v>
      </c>
      <c r="I23" s="83">
        <f>H23</f>
        <v>1043.571774</v>
      </c>
    </row>
    <row r="24" spans="1:9" ht="18" customHeight="1">
      <c r="A24" s="103"/>
      <c r="B24" s="104"/>
      <c r="C24" s="104"/>
      <c r="D24" s="467" t="s">
        <v>310</v>
      </c>
      <c r="E24" s="468"/>
      <c r="F24" s="468"/>
      <c r="G24" s="468"/>
      <c r="H24" s="469"/>
      <c r="I24" s="105">
        <f>SUM(I21:I23)</f>
        <v>6474.0201579999994</v>
      </c>
    </row>
    <row r="25" spans="1:9" s="40" customFormat="1" ht="13.5" customHeight="1">
      <c r="A25" s="441">
        <v>4</v>
      </c>
      <c r="B25" s="437"/>
      <c r="C25" s="440" t="s">
        <v>280</v>
      </c>
      <c r="D25" s="210"/>
      <c r="E25" s="210"/>
      <c r="F25" s="87"/>
      <c r="G25" s="87"/>
      <c r="H25" s="134"/>
      <c r="I25" s="134"/>
    </row>
    <row r="26" spans="1:9" ht="25.5" customHeight="1">
      <c r="A26" s="89" t="s">
        <v>250</v>
      </c>
      <c r="B26" s="89" t="s">
        <v>282</v>
      </c>
      <c r="C26" s="106" t="s">
        <v>281</v>
      </c>
      <c r="D26" s="90" t="s">
        <v>360</v>
      </c>
      <c r="E26" s="99">
        <v>29.83</v>
      </c>
      <c r="F26" s="100">
        <v>98.34</v>
      </c>
      <c r="G26" s="92">
        <f>E26*F26</f>
        <v>2933.4821999999999</v>
      </c>
      <c r="H26" s="102">
        <f>G26*H8+G26</f>
        <v>3578.8482839999997</v>
      </c>
      <c r="I26" s="83">
        <f>H26</f>
        <v>3578.8482839999997</v>
      </c>
    </row>
    <row r="27" spans="1:9" ht="18.75" customHeight="1">
      <c r="A27" s="103"/>
      <c r="B27" s="104"/>
      <c r="C27" s="104"/>
      <c r="D27" s="467" t="s">
        <v>310</v>
      </c>
      <c r="E27" s="468"/>
      <c r="F27" s="468"/>
      <c r="G27" s="468"/>
      <c r="H27" s="469"/>
      <c r="I27" s="105">
        <f>I26</f>
        <v>3578.8482839999997</v>
      </c>
    </row>
    <row r="28" spans="1:9" s="40" customFormat="1" ht="13.5" customHeight="1">
      <c r="A28" s="439">
        <v>5</v>
      </c>
      <c r="B28" s="437"/>
      <c r="C28" s="440" t="s">
        <v>311</v>
      </c>
      <c r="D28" s="210"/>
      <c r="E28" s="210"/>
      <c r="F28" s="87"/>
      <c r="G28" s="87"/>
      <c r="H28" s="134"/>
      <c r="I28" s="134"/>
    </row>
    <row r="29" spans="1:9" ht="21.75" customHeight="1">
      <c r="A29" s="434" t="s">
        <v>251</v>
      </c>
      <c r="B29" s="89" t="s">
        <v>303</v>
      </c>
      <c r="C29" s="106" t="s">
        <v>330</v>
      </c>
      <c r="D29" s="107" t="s">
        <v>329</v>
      </c>
      <c r="E29" s="99">
        <v>10.472</v>
      </c>
      <c r="F29" s="100">
        <v>13.04</v>
      </c>
      <c r="G29" s="92">
        <f>E29*F29</f>
        <v>136.55488</v>
      </c>
      <c r="H29" s="102">
        <f>G29*H8+G29</f>
        <v>166.59695360000001</v>
      </c>
      <c r="I29" s="83">
        <f>H29</f>
        <v>166.59695360000001</v>
      </c>
    </row>
    <row r="30" spans="1:9" s="40" customFormat="1" ht="15.75" customHeight="1">
      <c r="A30" s="205"/>
      <c r="B30" s="206"/>
      <c r="C30" s="206"/>
      <c r="D30" s="467" t="s">
        <v>310</v>
      </c>
      <c r="E30" s="468"/>
      <c r="F30" s="468"/>
      <c r="G30" s="468"/>
      <c r="H30" s="469"/>
      <c r="I30" s="105">
        <f>I29</f>
        <v>166.59695360000001</v>
      </c>
    </row>
    <row r="31" spans="1:9" s="40" customFormat="1" ht="14.25" customHeight="1">
      <c r="A31" s="207">
        <v>6</v>
      </c>
      <c r="B31" s="437"/>
      <c r="C31" s="438" t="s">
        <v>211</v>
      </c>
      <c r="D31" s="52"/>
      <c r="E31" s="52"/>
      <c r="F31" s="53"/>
      <c r="G31" s="53"/>
      <c r="H31" s="55"/>
      <c r="I31" s="55"/>
    </row>
    <row r="32" spans="1:9" ht="26.25" customHeight="1">
      <c r="A32" s="435" t="s">
        <v>252</v>
      </c>
      <c r="B32" s="114" t="s">
        <v>67</v>
      </c>
      <c r="C32" s="115" t="s">
        <v>200</v>
      </c>
      <c r="D32" s="116" t="s">
        <v>360</v>
      </c>
      <c r="E32" s="91">
        <v>280.14999999999998</v>
      </c>
      <c r="F32" s="92">
        <v>6.55</v>
      </c>
      <c r="G32" s="92">
        <f>E32*F32</f>
        <v>1834.9824999999998</v>
      </c>
      <c r="H32" s="93">
        <f>G32*H8+G32</f>
        <v>2238.6786499999998</v>
      </c>
      <c r="I32" s="83">
        <f>H32</f>
        <v>2238.6786499999998</v>
      </c>
    </row>
    <row r="33" spans="1:9" ht="30.75" customHeight="1">
      <c r="A33" s="117" t="s">
        <v>253</v>
      </c>
      <c r="B33" s="59" t="s">
        <v>66</v>
      </c>
      <c r="C33" s="118" t="s">
        <v>199</v>
      </c>
      <c r="D33" s="119" t="s">
        <v>360</v>
      </c>
      <c r="E33" s="120">
        <v>432.63</v>
      </c>
      <c r="F33" s="121">
        <v>23.63</v>
      </c>
      <c r="G33" s="121">
        <f>E33*F33</f>
        <v>10223.046899999999</v>
      </c>
      <c r="H33" s="63">
        <f>G33*H8+G33</f>
        <v>12472.117217999999</v>
      </c>
      <c r="I33" s="75">
        <f>H33</f>
        <v>12472.117217999999</v>
      </c>
    </row>
    <row r="34" spans="1:9" ht="34.5" customHeight="1">
      <c r="A34" s="76" t="s">
        <v>254</v>
      </c>
      <c r="B34" s="114" t="s">
        <v>65</v>
      </c>
      <c r="C34" s="115" t="s">
        <v>198</v>
      </c>
      <c r="D34" s="116" t="s">
        <v>360</v>
      </c>
      <c r="E34" s="91">
        <v>84.39</v>
      </c>
      <c r="F34" s="92">
        <v>29.24</v>
      </c>
      <c r="G34" s="92">
        <f>E34*F34</f>
        <v>2467.5636</v>
      </c>
      <c r="H34" s="93">
        <f>G34*H8+G34</f>
        <v>3010.427592</v>
      </c>
      <c r="I34" s="83">
        <f>H34</f>
        <v>3010.427592</v>
      </c>
    </row>
    <row r="35" spans="1:9" ht="24.75" customHeight="1">
      <c r="A35" s="117" t="s">
        <v>328</v>
      </c>
      <c r="B35" s="59" t="s">
        <v>64</v>
      </c>
      <c r="C35" s="118" t="s">
        <v>117</v>
      </c>
      <c r="D35" s="119" t="s">
        <v>360</v>
      </c>
      <c r="E35" s="122">
        <v>300.7</v>
      </c>
      <c r="F35" s="123">
        <v>22.19</v>
      </c>
      <c r="G35" s="123">
        <f>E35*F35</f>
        <v>6672.5330000000004</v>
      </c>
      <c r="H35" s="124">
        <f>G35*H8+G35</f>
        <v>8140.4902600000005</v>
      </c>
      <c r="I35" s="125">
        <f>H35</f>
        <v>8140.4902600000005</v>
      </c>
    </row>
    <row r="36" spans="1:9" ht="18" customHeight="1">
      <c r="A36" s="126"/>
      <c r="B36" s="127"/>
      <c r="C36" s="127"/>
      <c r="D36" s="467" t="s">
        <v>310</v>
      </c>
      <c r="E36" s="468"/>
      <c r="F36" s="468"/>
      <c r="G36" s="468"/>
      <c r="H36" s="469"/>
      <c r="I36" s="189">
        <f>I34+I35+I33+I32</f>
        <v>25861.71372</v>
      </c>
    </row>
    <row r="37" spans="1:9" ht="14.25" customHeight="1">
      <c r="A37" s="436">
        <v>7</v>
      </c>
      <c r="B37" s="293"/>
      <c r="C37" s="294" t="s">
        <v>233</v>
      </c>
      <c r="D37" s="85"/>
      <c r="E37" s="85"/>
      <c r="F37" s="86"/>
      <c r="G37" s="87"/>
      <c r="H37" s="88"/>
      <c r="I37" s="134"/>
    </row>
    <row r="38" spans="1:9" ht="18" customHeight="1">
      <c r="A38" s="89" t="s">
        <v>21</v>
      </c>
      <c r="B38" s="89" t="s">
        <v>54</v>
      </c>
      <c r="C38" s="106" t="s">
        <v>215</v>
      </c>
      <c r="D38" s="107" t="s">
        <v>300</v>
      </c>
      <c r="E38" s="128">
        <v>1.42</v>
      </c>
      <c r="F38" s="100">
        <v>1.7709999999999999</v>
      </c>
      <c r="G38" s="92">
        <f>E38*F38</f>
        <v>2.5148199999999998</v>
      </c>
      <c r="H38" s="102">
        <f>G38*H8+G38</f>
        <v>3.0680803999999999</v>
      </c>
      <c r="I38" s="83">
        <f>H38</f>
        <v>3.0680803999999999</v>
      </c>
    </row>
    <row r="39" spans="1:9" ht="18" customHeight="1">
      <c r="A39" s="103"/>
      <c r="B39" s="104"/>
      <c r="C39" s="104"/>
      <c r="D39" s="467" t="s">
        <v>310</v>
      </c>
      <c r="E39" s="468"/>
      <c r="F39" s="468"/>
      <c r="G39" s="468"/>
      <c r="H39" s="469"/>
      <c r="I39" s="105">
        <f>I38</f>
        <v>3.0680803999999999</v>
      </c>
    </row>
    <row r="40" spans="1:9" ht="12" customHeight="1">
      <c r="A40" s="129">
        <v>8</v>
      </c>
      <c r="B40" s="130"/>
      <c r="C40" s="131" t="s">
        <v>212</v>
      </c>
      <c r="D40" s="132"/>
      <c r="E40" s="132"/>
      <c r="F40" s="133"/>
      <c r="G40" s="133"/>
      <c r="H40" s="134"/>
      <c r="I40" s="134"/>
    </row>
    <row r="41" spans="1:9" ht="25.5" customHeight="1">
      <c r="A41" s="94" t="s">
        <v>255</v>
      </c>
      <c r="B41" s="135" t="s">
        <v>31</v>
      </c>
      <c r="C41" s="179" t="s">
        <v>361</v>
      </c>
      <c r="D41" s="96" t="s">
        <v>360</v>
      </c>
      <c r="E41" s="136">
        <v>153.31</v>
      </c>
      <c r="F41" s="61">
        <v>42.64</v>
      </c>
      <c r="G41" s="61">
        <f>E41*F41</f>
        <v>6537.1383999999998</v>
      </c>
      <c r="H41" s="63">
        <f>G41*H8+G41</f>
        <v>7975.3088479999997</v>
      </c>
      <c r="I41" s="75">
        <f>H41</f>
        <v>7975.3088479999997</v>
      </c>
    </row>
    <row r="42" spans="1:9" ht="24" customHeight="1">
      <c r="A42" s="137" t="s">
        <v>16</v>
      </c>
      <c r="B42" s="138" t="s">
        <v>33</v>
      </c>
      <c r="C42" s="146" t="s">
        <v>32</v>
      </c>
      <c r="D42" s="139" t="s">
        <v>360</v>
      </c>
      <c r="E42" s="140">
        <v>71.86</v>
      </c>
      <c r="F42" s="141">
        <v>30.38</v>
      </c>
      <c r="G42" s="141">
        <f>E42*F42</f>
        <v>2183.1068</v>
      </c>
      <c r="H42" s="93">
        <f>G42*H8+G42</f>
        <v>2663.390296</v>
      </c>
      <c r="I42" s="83">
        <f>H42</f>
        <v>2663.390296</v>
      </c>
    </row>
    <row r="43" spans="1:9" ht="25.5" customHeight="1">
      <c r="A43" s="142" t="s">
        <v>17</v>
      </c>
      <c r="B43" s="143" t="s">
        <v>48</v>
      </c>
      <c r="C43" s="253" t="s">
        <v>242</v>
      </c>
      <c r="D43" s="144" t="s">
        <v>360</v>
      </c>
      <c r="E43" s="120">
        <v>7</v>
      </c>
      <c r="F43" s="145">
        <v>59.82</v>
      </c>
      <c r="G43" s="145">
        <f>E43*F43</f>
        <v>418.74</v>
      </c>
      <c r="H43" s="75">
        <f>G43*H8+G43</f>
        <v>510.86279999999999</v>
      </c>
      <c r="I43" s="75">
        <f>H43</f>
        <v>510.86279999999999</v>
      </c>
    </row>
    <row r="44" spans="1:9" ht="18" customHeight="1">
      <c r="A44" s="137" t="s">
        <v>340</v>
      </c>
      <c r="B44" s="138" t="s">
        <v>332</v>
      </c>
      <c r="C44" s="146" t="s">
        <v>331</v>
      </c>
      <c r="D44" s="139" t="s">
        <v>360</v>
      </c>
      <c r="E44" s="140">
        <v>2.57</v>
      </c>
      <c r="F44" s="141">
        <v>45.02</v>
      </c>
      <c r="G44" s="141">
        <f>E44*F44</f>
        <v>115.70140000000001</v>
      </c>
      <c r="H44" s="93">
        <f>G44*H8+G44</f>
        <v>141.155708</v>
      </c>
      <c r="I44" s="83">
        <f>H44</f>
        <v>141.155708</v>
      </c>
    </row>
    <row r="45" spans="1:9" ht="15.75" customHeight="1">
      <c r="A45" s="64"/>
      <c r="B45" s="65"/>
      <c r="C45" s="127"/>
      <c r="D45" s="467" t="s">
        <v>310</v>
      </c>
      <c r="E45" s="468"/>
      <c r="F45" s="468"/>
      <c r="G45" s="468"/>
      <c r="H45" s="469"/>
      <c r="I45" s="147">
        <f>SUM(I41:I44)</f>
        <v>11290.717652000001</v>
      </c>
    </row>
    <row r="46" spans="1:9" ht="12" customHeight="1">
      <c r="A46" s="148">
        <v>9</v>
      </c>
      <c r="B46" s="149"/>
      <c r="C46" s="150" t="s">
        <v>214</v>
      </c>
      <c r="D46" s="132"/>
      <c r="E46" s="132"/>
      <c r="F46" s="133"/>
      <c r="G46" s="133"/>
      <c r="H46" s="134"/>
      <c r="I46" s="134"/>
    </row>
    <row r="47" spans="1:9" ht="22.5" customHeight="1">
      <c r="A47" s="151" t="s">
        <v>11</v>
      </c>
      <c r="B47" s="152" t="s">
        <v>24</v>
      </c>
      <c r="C47" s="58" t="s">
        <v>278</v>
      </c>
      <c r="D47" s="153" t="s">
        <v>360</v>
      </c>
      <c r="E47" s="154">
        <v>189.88</v>
      </c>
      <c r="F47" s="155">
        <v>36.72</v>
      </c>
      <c r="G47" s="155">
        <f>E47*F47</f>
        <v>6972.3935999999994</v>
      </c>
      <c r="H47" s="156">
        <f>G47*H8+G47</f>
        <v>8506.3201919999992</v>
      </c>
      <c r="I47" s="75">
        <f>H47</f>
        <v>8506.3201919999992</v>
      </c>
    </row>
    <row r="48" spans="1:9" ht="17.25" customHeight="1">
      <c r="A48" s="64"/>
      <c r="B48" s="65"/>
      <c r="C48" s="65"/>
      <c r="D48" s="467" t="s">
        <v>310</v>
      </c>
      <c r="E48" s="468"/>
      <c r="F48" s="468"/>
      <c r="G48" s="468"/>
      <c r="H48" s="469"/>
      <c r="I48" s="66">
        <f>I47</f>
        <v>8506.3201919999992</v>
      </c>
    </row>
    <row r="49" spans="1:9" ht="11.25" customHeight="1">
      <c r="A49" s="49">
        <v>10</v>
      </c>
      <c r="B49" s="50"/>
      <c r="C49" s="51" t="s">
        <v>192</v>
      </c>
      <c r="D49" s="52"/>
      <c r="E49" s="52"/>
      <c r="F49" s="53"/>
      <c r="G49" s="53"/>
      <c r="H49" s="55"/>
      <c r="I49" s="55"/>
    </row>
    <row r="50" spans="1:9" ht="19.5" customHeight="1">
      <c r="A50" s="157" t="s">
        <v>10</v>
      </c>
      <c r="B50" s="158" t="s">
        <v>118</v>
      </c>
      <c r="C50" s="159" t="s">
        <v>244</v>
      </c>
      <c r="D50" s="160" t="s">
        <v>47</v>
      </c>
      <c r="E50" s="161">
        <v>1</v>
      </c>
      <c r="F50" s="446" t="s">
        <v>54</v>
      </c>
      <c r="G50" s="141">
        <v>1900</v>
      </c>
      <c r="H50" s="93">
        <f>G50*H8+G50</f>
        <v>2318</v>
      </c>
      <c r="I50" s="83">
        <f>H50</f>
        <v>2318</v>
      </c>
    </row>
    <row r="51" spans="1:9" ht="15" customHeight="1">
      <c r="A51" s="64"/>
      <c r="B51" s="65"/>
      <c r="C51" s="65"/>
      <c r="D51" s="467" t="s">
        <v>310</v>
      </c>
      <c r="E51" s="468"/>
      <c r="F51" s="468"/>
      <c r="G51" s="468"/>
      <c r="H51" s="469"/>
      <c r="I51" s="66">
        <f>I50</f>
        <v>2318</v>
      </c>
    </row>
    <row r="52" spans="1:9" ht="12" customHeight="1">
      <c r="A52" s="162">
        <v>11</v>
      </c>
      <c r="B52" s="109"/>
      <c r="C52" s="110" t="s">
        <v>213</v>
      </c>
      <c r="D52" s="111"/>
      <c r="E52" s="111"/>
      <c r="F52" s="112"/>
      <c r="G52" s="53"/>
      <c r="H52" s="113"/>
      <c r="I52" s="55"/>
    </row>
    <row r="53" spans="1:9" ht="33" customHeight="1">
      <c r="A53" s="163" t="s">
        <v>256</v>
      </c>
      <c r="B53" s="164" t="s">
        <v>362</v>
      </c>
      <c r="C53" s="58" t="s">
        <v>363</v>
      </c>
      <c r="D53" s="119" t="s">
        <v>360</v>
      </c>
      <c r="E53" s="154">
        <v>189.88</v>
      </c>
      <c r="F53" s="61">
        <v>11.03</v>
      </c>
      <c r="G53" s="61">
        <f t="shared" ref="G53:G58" si="2">E53*F53</f>
        <v>2094.3763999999996</v>
      </c>
      <c r="H53" s="165">
        <f>G53*H8+G53</f>
        <v>2555.1392079999996</v>
      </c>
      <c r="I53" s="75">
        <f t="shared" ref="I53:I58" si="3">H53</f>
        <v>2555.1392079999996</v>
      </c>
    </row>
    <row r="54" spans="1:9" ht="27.75" customHeight="1">
      <c r="A54" s="137" t="s">
        <v>257</v>
      </c>
      <c r="B54" s="166" t="s">
        <v>364</v>
      </c>
      <c r="C54" s="146" t="s">
        <v>26</v>
      </c>
      <c r="D54" s="77" t="s">
        <v>360</v>
      </c>
      <c r="E54" s="167">
        <v>25.49</v>
      </c>
      <c r="F54" s="81">
        <v>20.73</v>
      </c>
      <c r="G54" s="81">
        <f t="shared" si="2"/>
        <v>528.40769999999998</v>
      </c>
      <c r="H54" s="82">
        <f>G54*H8+G54</f>
        <v>644.65739399999995</v>
      </c>
      <c r="I54" s="83">
        <f t="shared" si="3"/>
        <v>644.65739399999995</v>
      </c>
    </row>
    <row r="55" spans="1:9" ht="27.75" customHeight="1">
      <c r="A55" s="94" t="s">
        <v>258</v>
      </c>
      <c r="B55" s="135" t="s">
        <v>72</v>
      </c>
      <c r="C55" s="179" t="s">
        <v>73</v>
      </c>
      <c r="D55" s="119" t="s">
        <v>360</v>
      </c>
      <c r="E55" s="154">
        <v>350.23</v>
      </c>
      <c r="F55" s="61">
        <v>4.4800000000000004</v>
      </c>
      <c r="G55" s="61">
        <f t="shared" si="2"/>
        <v>1569.0304000000003</v>
      </c>
      <c r="H55" s="165">
        <f>G55*H8+G55</f>
        <v>1914.2170880000003</v>
      </c>
      <c r="I55" s="75">
        <f t="shared" si="3"/>
        <v>1914.2170880000003</v>
      </c>
    </row>
    <row r="56" spans="1:9" ht="26.25" customHeight="1">
      <c r="A56" s="157" t="s">
        <v>259</v>
      </c>
      <c r="B56" s="160" t="s">
        <v>29</v>
      </c>
      <c r="C56" s="295" t="s">
        <v>27</v>
      </c>
      <c r="D56" s="168" t="s">
        <v>360</v>
      </c>
      <c r="E56" s="169">
        <v>350.23</v>
      </c>
      <c r="F56" s="141">
        <v>10.96</v>
      </c>
      <c r="G56" s="141">
        <f t="shared" si="2"/>
        <v>3838.5208000000007</v>
      </c>
      <c r="H56" s="170">
        <f>G56*H8+G56</f>
        <v>4682.9953760000008</v>
      </c>
      <c r="I56" s="83">
        <f t="shared" si="3"/>
        <v>4682.9953760000008</v>
      </c>
    </row>
    <row r="57" spans="1:9" ht="25.5" customHeight="1">
      <c r="A57" s="142" t="s">
        <v>260</v>
      </c>
      <c r="B57" s="143" t="s">
        <v>28</v>
      </c>
      <c r="C57" s="256" t="s">
        <v>25</v>
      </c>
      <c r="D57" s="153" t="s">
        <v>360</v>
      </c>
      <c r="E57" s="171">
        <v>216.82</v>
      </c>
      <c r="F57" s="73">
        <v>12.08</v>
      </c>
      <c r="G57" s="73">
        <f t="shared" si="2"/>
        <v>2619.1855999999998</v>
      </c>
      <c r="H57" s="74">
        <f>G57*H8+G57</f>
        <v>3195.4064319999998</v>
      </c>
      <c r="I57" s="75">
        <f t="shared" si="3"/>
        <v>3195.4064319999998</v>
      </c>
    </row>
    <row r="58" spans="1:9" ht="27.75" customHeight="1">
      <c r="A58" s="157" t="s">
        <v>261</v>
      </c>
      <c r="B58" s="160" t="s">
        <v>70</v>
      </c>
      <c r="C58" s="295" t="s">
        <v>71</v>
      </c>
      <c r="D58" s="172" t="s">
        <v>360</v>
      </c>
      <c r="E58" s="173">
        <v>12.31</v>
      </c>
      <c r="F58" s="174">
        <v>17.03</v>
      </c>
      <c r="G58" s="174">
        <f t="shared" si="2"/>
        <v>209.63930000000002</v>
      </c>
      <c r="H58" s="175">
        <f>G58*H8+G58</f>
        <v>255.75994600000001</v>
      </c>
      <c r="I58" s="83">
        <f t="shared" si="3"/>
        <v>255.75994600000001</v>
      </c>
    </row>
    <row r="59" spans="1:9" ht="18" customHeight="1">
      <c r="A59" s="176"/>
      <c r="B59" s="177"/>
      <c r="C59" s="127"/>
      <c r="D59" s="467" t="s">
        <v>310</v>
      </c>
      <c r="E59" s="468"/>
      <c r="F59" s="468"/>
      <c r="G59" s="468"/>
      <c r="H59" s="469"/>
      <c r="I59" s="178">
        <f>I57+I56+I54+I53+I58+I55</f>
        <v>13248.175444</v>
      </c>
    </row>
    <row r="60" spans="1:9" ht="12.75" customHeight="1">
      <c r="A60" s="108">
        <v>12</v>
      </c>
      <c r="B60" s="109"/>
      <c r="C60" s="110" t="s">
        <v>167</v>
      </c>
      <c r="D60" s="52"/>
      <c r="E60" s="52"/>
      <c r="F60" s="53"/>
      <c r="G60" s="53"/>
      <c r="H60" s="55"/>
      <c r="I60" s="55"/>
    </row>
    <row r="61" spans="1:9" ht="18" customHeight="1">
      <c r="A61" s="117" t="s">
        <v>41</v>
      </c>
      <c r="B61" s="119" t="s">
        <v>74</v>
      </c>
      <c r="C61" s="179" t="s">
        <v>80</v>
      </c>
      <c r="D61" s="119" t="s">
        <v>360</v>
      </c>
      <c r="E61" s="180">
        <v>1.51</v>
      </c>
      <c r="F61" s="181">
        <v>203.02</v>
      </c>
      <c r="G61" s="182">
        <f>E61*F61</f>
        <v>306.56020000000001</v>
      </c>
      <c r="H61" s="183">
        <f>G61*H8+G61</f>
        <v>374.003444</v>
      </c>
      <c r="I61" s="75">
        <f>H61</f>
        <v>374.003444</v>
      </c>
    </row>
    <row r="62" spans="1:9" ht="15" customHeight="1">
      <c r="A62" s="76" t="s">
        <v>262</v>
      </c>
      <c r="B62" s="114" t="s">
        <v>75</v>
      </c>
      <c r="C62" s="184" t="s">
        <v>81</v>
      </c>
      <c r="D62" s="116" t="s">
        <v>360</v>
      </c>
      <c r="E62" s="185">
        <v>1.1000000000000001</v>
      </c>
      <c r="F62" s="186">
        <v>205.78</v>
      </c>
      <c r="G62" s="100">
        <f>E62*F62</f>
        <v>226.35800000000003</v>
      </c>
      <c r="H62" s="187">
        <f>G62*H8+G62</f>
        <v>276.15676000000002</v>
      </c>
      <c r="I62" s="188">
        <f>H62</f>
        <v>276.15676000000002</v>
      </c>
    </row>
    <row r="63" spans="1:9" s="453" customFormat="1" ht="18" customHeight="1">
      <c r="A63" s="450"/>
      <c r="B63" s="451"/>
      <c r="C63" s="451"/>
      <c r="D63" s="470" t="s">
        <v>310</v>
      </c>
      <c r="E63" s="471"/>
      <c r="F63" s="471"/>
      <c r="G63" s="471"/>
      <c r="H63" s="472"/>
      <c r="I63" s="452">
        <f>I61+I62</f>
        <v>650.16020400000002</v>
      </c>
    </row>
    <row r="64" spans="1:9" s="40" customFormat="1" ht="21.75" customHeight="1">
      <c r="A64" s="504" t="s">
        <v>104</v>
      </c>
      <c r="B64" s="505" t="s">
        <v>356</v>
      </c>
      <c r="C64" s="505" t="s">
        <v>357</v>
      </c>
      <c r="D64" s="486" t="s">
        <v>358</v>
      </c>
      <c r="E64" s="486" t="s">
        <v>359</v>
      </c>
      <c r="F64" s="485" t="s">
        <v>309</v>
      </c>
      <c r="G64" s="486" t="s">
        <v>355</v>
      </c>
      <c r="H64" s="457" t="s">
        <v>354</v>
      </c>
      <c r="I64" s="481" t="s">
        <v>308</v>
      </c>
    </row>
    <row r="65" spans="1:10" s="40" customFormat="1" ht="8.25" customHeight="1">
      <c r="A65" s="474"/>
      <c r="B65" s="476"/>
      <c r="C65" s="476"/>
      <c r="D65" s="478"/>
      <c r="E65" s="478"/>
      <c r="F65" s="484"/>
      <c r="G65" s="478"/>
      <c r="H65" s="48">
        <v>0.22</v>
      </c>
      <c r="I65" s="482"/>
      <c r="J65" s="42"/>
    </row>
    <row r="66" spans="1:10" ht="12" customHeight="1">
      <c r="A66" s="190">
        <v>13</v>
      </c>
      <c r="B66" s="50"/>
      <c r="C66" s="51" t="s">
        <v>170</v>
      </c>
      <c r="D66" s="52"/>
      <c r="E66" s="52"/>
      <c r="F66" s="53"/>
      <c r="G66" s="53"/>
      <c r="H66" s="67"/>
      <c r="I66" s="55"/>
    </row>
    <row r="67" spans="1:10" ht="21" customHeight="1">
      <c r="A67" s="191" t="s">
        <v>9</v>
      </c>
      <c r="B67" s="192" t="s">
        <v>35</v>
      </c>
      <c r="C67" s="193" t="s">
        <v>34</v>
      </c>
      <c r="D67" s="168" t="s">
        <v>358</v>
      </c>
      <c r="E67" s="194">
        <v>4</v>
      </c>
      <c r="F67" s="141">
        <v>236.41</v>
      </c>
      <c r="G67" s="141">
        <f t="shared" ref="G67:G75" si="4">E67*F67</f>
        <v>945.64</v>
      </c>
      <c r="H67" s="170">
        <f>G67*H8+G67</f>
        <v>1153.6808000000001</v>
      </c>
      <c r="I67" s="83">
        <f t="shared" ref="I67:I75" si="5">H67</f>
        <v>1153.6808000000001</v>
      </c>
    </row>
    <row r="68" spans="1:10" ht="18" customHeight="1">
      <c r="A68" s="142" t="s">
        <v>42</v>
      </c>
      <c r="B68" s="195" t="s">
        <v>143</v>
      </c>
      <c r="C68" s="196" t="s">
        <v>144</v>
      </c>
      <c r="D68" s="197" t="s">
        <v>358</v>
      </c>
      <c r="E68" s="198">
        <v>4</v>
      </c>
      <c r="F68" s="73">
        <v>265.58999999999997</v>
      </c>
      <c r="G68" s="73">
        <f t="shared" si="4"/>
        <v>1062.3599999999999</v>
      </c>
      <c r="H68" s="74">
        <f>G68*H8+G68</f>
        <v>1296.0791999999999</v>
      </c>
      <c r="I68" s="75">
        <f t="shared" si="5"/>
        <v>1296.0791999999999</v>
      </c>
    </row>
    <row r="69" spans="1:10" ht="23.25" customHeight="1">
      <c r="A69" s="137" t="s">
        <v>341</v>
      </c>
      <c r="B69" s="199" t="s">
        <v>148</v>
      </c>
      <c r="C69" s="200" t="s">
        <v>147</v>
      </c>
      <c r="D69" s="166" t="s">
        <v>358</v>
      </c>
      <c r="E69" s="201">
        <v>4</v>
      </c>
      <c r="F69" s="81">
        <v>170.63</v>
      </c>
      <c r="G69" s="81">
        <f t="shared" si="4"/>
        <v>682.52</v>
      </c>
      <c r="H69" s="82">
        <f>G69*H8+G69</f>
        <v>832.67439999999999</v>
      </c>
      <c r="I69" s="83">
        <f t="shared" si="5"/>
        <v>832.67439999999999</v>
      </c>
    </row>
    <row r="70" spans="1:10" ht="42.75" customHeight="1">
      <c r="A70" s="142" t="s">
        <v>263</v>
      </c>
      <c r="B70" s="195" t="s">
        <v>176</v>
      </c>
      <c r="C70" s="196" t="s">
        <v>175</v>
      </c>
      <c r="D70" s="197" t="s">
        <v>358</v>
      </c>
      <c r="E70" s="72">
        <v>2</v>
      </c>
      <c r="F70" s="73">
        <v>738.5</v>
      </c>
      <c r="G70" s="73">
        <f t="shared" si="4"/>
        <v>1477</v>
      </c>
      <c r="H70" s="74">
        <f>G70*H8+G70</f>
        <v>1801.94</v>
      </c>
      <c r="I70" s="75">
        <f t="shared" si="5"/>
        <v>1801.94</v>
      </c>
    </row>
    <row r="71" spans="1:10" ht="21" customHeight="1">
      <c r="A71" s="157" t="s">
        <v>264</v>
      </c>
      <c r="B71" s="158" t="s">
        <v>145</v>
      </c>
      <c r="C71" s="159" t="s">
        <v>146</v>
      </c>
      <c r="D71" s="202" t="s">
        <v>365</v>
      </c>
      <c r="E71" s="194">
        <v>10</v>
      </c>
      <c r="F71" s="141">
        <v>59.26</v>
      </c>
      <c r="G71" s="141">
        <f t="shared" si="4"/>
        <v>592.6</v>
      </c>
      <c r="H71" s="170">
        <f>G71*H8+G71</f>
        <v>722.97199999999998</v>
      </c>
      <c r="I71" s="83">
        <f t="shared" si="5"/>
        <v>722.97199999999998</v>
      </c>
    </row>
    <row r="72" spans="1:10" ht="22.5" customHeight="1">
      <c r="A72" s="142" t="s">
        <v>265</v>
      </c>
      <c r="B72" s="195" t="s">
        <v>50</v>
      </c>
      <c r="C72" s="196" t="s">
        <v>49</v>
      </c>
      <c r="D72" s="197" t="s">
        <v>358</v>
      </c>
      <c r="E72" s="198">
        <v>4</v>
      </c>
      <c r="F72" s="73">
        <v>170.63</v>
      </c>
      <c r="G72" s="73">
        <f t="shared" si="4"/>
        <v>682.52</v>
      </c>
      <c r="H72" s="74">
        <f>G72*H8+G72</f>
        <v>832.67439999999999</v>
      </c>
      <c r="I72" s="75">
        <f t="shared" si="5"/>
        <v>832.67439999999999</v>
      </c>
    </row>
    <row r="73" spans="1:10" ht="38.25" customHeight="1">
      <c r="A73" s="157" t="s">
        <v>266</v>
      </c>
      <c r="B73" s="158" t="s">
        <v>76</v>
      </c>
      <c r="C73" s="159" t="s">
        <v>77</v>
      </c>
      <c r="D73" s="89" t="s">
        <v>90</v>
      </c>
      <c r="E73" s="203">
        <v>21</v>
      </c>
      <c r="F73" s="141">
        <v>23.13</v>
      </c>
      <c r="G73" s="141">
        <f t="shared" si="4"/>
        <v>485.72999999999996</v>
      </c>
      <c r="H73" s="170">
        <f>G73*H8+G73</f>
        <v>592.59059999999999</v>
      </c>
      <c r="I73" s="83">
        <f t="shared" si="5"/>
        <v>592.59059999999999</v>
      </c>
    </row>
    <row r="74" spans="1:10" ht="35.25" customHeight="1">
      <c r="A74" s="142" t="s">
        <v>267</v>
      </c>
      <c r="B74" s="195" t="s">
        <v>50</v>
      </c>
      <c r="C74" s="196" t="s">
        <v>78</v>
      </c>
      <c r="D74" s="153" t="s">
        <v>360</v>
      </c>
      <c r="E74" s="72">
        <v>21</v>
      </c>
      <c r="F74" s="73">
        <v>170.63</v>
      </c>
      <c r="G74" s="73">
        <f t="shared" si="4"/>
        <v>3583.23</v>
      </c>
      <c r="H74" s="74">
        <f>G74*H8+G74</f>
        <v>4371.5406000000003</v>
      </c>
      <c r="I74" s="75">
        <f t="shared" si="5"/>
        <v>4371.5406000000003</v>
      </c>
    </row>
    <row r="75" spans="1:10" ht="29.25" customHeight="1">
      <c r="A75" s="157" t="s">
        <v>268</v>
      </c>
      <c r="B75" s="158" t="s">
        <v>174</v>
      </c>
      <c r="C75" s="159" t="s">
        <v>173</v>
      </c>
      <c r="D75" s="89" t="s">
        <v>90</v>
      </c>
      <c r="E75" s="203">
        <v>15.12</v>
      </c>
      <c r="F75" s="141">
        <v>15.83</v>
      </c>
      <c r="G75" s="141">
        <f t="shared" si="4"/>
        <v>239.34959999999998</v>
      </c>
      <c r="H75" s="204">
        <f>G75*H8+G75</f>
        <v>292.00651199999999</v>
      </c>
      <c r="I75" s="83">
        <f t="shared" si="5"/>
        <v>292.00651199999999</v>
      </c>
    </row>
    <row r="76" spans="1:10" ht="19.5" customHeight="1">
      <c r="A76" s="205"/>
      <c r="B76" s="206"/>
      <c r="C76" s="206"/>
      <c r="D76" s="467" t="s">
        <v>310</v>
      </c>
      <c r="E76" s="468"/>
      <c r="F76" s="468"/>
      <c r="G76" s="468"/>
      <c r="H76" s="469"/>
      <c r="I76" s="105">
        <f>SUM(I67:I75)</f>
        <v>11896.158512</v>
      </c>
    </row>
    <row r="77" spans="1:10" ht="16.5" customHeight="1">
      <c r="A77" s="207">
        <v>14</v>
      </c>
      <c r="B77" s="208"/>
      <c r="C77" s="209" t="s">
        <v>166</v>
      </c>
      <c r="D77" s="210"/>
      <c r="E77" s="210"/>
      <c r="F77" s="87"/>
      <c r="G77" s="87"/>
      <c r="H77" s="211"/>
      <c r="I77" s="134"/>
    </row>
    <row r="78" spans="1:10" ht="19.5" customHeight="1">
      <c r="A78" s="212" t="s">
        <v>44</v>
      </c>
      <c r="B78" s="89" t="s">
        <v>18</v>
      </c>
      <c r="C78" s="213" t="s">
        <v>57</v>
      </c>
      <c r="D78" s="214" t="s">
        <v>358</v>
      </c>
      <c r="E78" s="215">
        <v>3</v>
      </c>
      <c r="F78" s="216">
        <v>19.98</v>
      </c>
      <c r="G78" s="216">
        <f t="shared" ref="G78:G83" si="6">E78*F78</f>
        <v>59.94</v>
      </c>
      <c r="H78" s="217">
        <f>G78*H8+G78</f>
        <v>73.126800000000003</v>
      </c>
      <c r="I78" s="83">
        <f t="shared" ref="I78:I83" si="7">H78</f>
        <v>73.126800000000003</v>
      </c>
    </row>
    <row r="79" spans="1:10" ht="18.75" customHeight="1">
      <c r="A79" s="218" t="s">
        <v>269</v>
      </c>
      <c r="B79" s="219" t="s">
        <v>58</v>
      </c>
      <c r="C79" s="220" t="s">
        <v>56</v>
      </c>
      <c r="D79" s="221" t="s">
        <v>358</v>
      </c>
      <c r="E79" s="222">
        <v>2</v>
      </c>
      <c r="F79" s="121">
        <v>23.95</v>
      </c>
      <c r="G79" s="121">
        <f t="shared" si="6"/>
        <v>47.9</v>
      </c>
      <c r="H79" s="223">
        <f>G79*H8+G79</f>
        <v>58.438000000000002</v>
      </c>
      <c r="I79" s="75">
        <f t="shared" si="7"/>
        <v>58.438000000000002</v>
      </c>
    </row>
    <row r="80" spans="1:10" ht="24.75" customHeight="1">
      <c r="A80" s="224" t="s">
        <v>270</v>
      </c>
      <c r="B80" s="199" t="s">
        <v>19</v>
      </c>
      <c r="C80" s="200" t="s">
        <v>20</v>
      </c>
      <c r="D80" s="225" t="s">
        <v>358</v>
      </c>
      <c r="E80" s="226">
        <v>5</v>
      </c>
      <c r="F80" s="227">
        <v>102.35</v>
      </c>
      <c r="G80" s="227">
        <f t="shared" si="6"/>
        <v>511.75</v>
      </c>
      <c r="H80" s="228">
        <f>G80*H8+G80</f>
        <v>624.33500000000004</v>
      </c>
      <c r="I80" s="83">
        <f t="shared" si="7"/>
        <v>624.33500000000004</v>
      </c>
    </row>
    <row r="81" spans="1:9" ht="31.5" customHeight="1">
      <c r="A81" s="229" t="s">
        <v>271</v>
      </c>
      <c r="B81" s="95" t="s">
        <v>36</v>
      </c>
      <c r="C81" s="230" t="s">
        <v>60</v>
      </c>
      <c r="D81" s="231" t="s">
        <v>358</v>
      </c>
      <c r="E81" s="222">
        <v>2</v>
      </c>
      <c r="F81" s="121">
        <v>268.7</v>
      </c>
      <c r="G81" s="121">
        <f t="shared" si="6"/>
        <v>537.4</v>
      </c>
      <c r="H81" s="223">
        <f>G81*H8+G81</f>
        <v>655.62799999999993</v>
      </c>
      <c r="I81" s="75">
        <f t="shared" si="7"/>
        <v>655.62799999999993</v>
      </c>
    </row>
    <row r="82" spans="1:9" ht="30.75" customHeight="1">
      <c r="A82" s="224" t="s">
        <v>272</v>
      </c>
      <c r="B82" s="199" t="s">
        <v>37</v>
      </c>
      <c r="C82" s="200" t="s">
        <v>59</v>
      </c>
      <c r="D82" s="225" t="s">
        <v>358</v>
      </c>
      <c r="E82" s="226">
        <v>6</v>
      </c>
      <c r="F82" s="227">
        <v>129.11000000000001</v>
      </c>
      <c r="G82" s="227">
        <f t="shared" si="6"/>
        <v>774.66000000000008</v>
      </c>
      <c r="H82" s="228">
        <f>G82*H8+G82</f>
        <v>945.0852000000001</v>
      </c>
      <c r="I82" s="83">
        <f t="shared" si="7"/>
        <v>945.0852000000001</v>
      </c>
    </row>
    <row r="83" spans="1:9" ht="36" customHeight="1">
      <c r="A83" s="229" t="s">
        <v>273</v>
      </c>
      <c r="B83" s="95" t="s">
        <v>38</v>
      </c>
      <c r="C83" s="230" t="s">
        <v>61</v>
      </c>
      <c r="D83" s="232" t="s">
        <v>358</v>
      </c>
      <c r="E83" s="233">
        <v>1</v>
      </c>
      <c r="F83" s="234">
        <v>185.35</v>
      </c>
      <c r="G83" s="234">
        <f t="shared" si="6"/>
        <v>185.35</v>
      </c>
      <c r="H83" s="235">
        <f>G83*H8+G83</f>
        <v>226.12700000000001</v>
      </c>
      <c r="I83" s="75">
        <f t="shared" si="7"/>
        <v>226.12700000000001</v>
      </c>
    </row>
    <row r="84" spans="1:9" ht="18.75" customHeight="1">
      <c r="A84" s="205"/>
      <c r="B84" s="206"/>
      <c r="C84" s="206"/>
      <c r="D84" s="467" t="s">
        <v>310</v>
      </c>
      <c r="E84" s="468"/>
      <c r="F84" s="468"/>
      <c r="G84" s="468"/>
      <c r="H84" s="469"/>
      <c r="I84" s="105">
        <f>SUM(I78:I83)</f>
        <v>2582.7399999999998</v>
      </c>
    </row>
    <row r="85" spans="1:9" ht="15" customHeight="1">
      <c r="A85" s="236">
        <v>15</v>
      </c>
      <c r="B85" s="237"/>
      <c r="C85" s="238" t="s">
        <v>339</v>
      </c>
      <c r="D85" s="210"/>
      <c r="E85" s="210"/>
      <c r="F85" s="87"/>
      <c r="G85" s="87"/>
      <c r="H85" s="239"/>
      <c r="I85" s="240"/>
    </row>
    <row r="86" spans="1:9" ht="30" customHeight="1">
      <c r="A86" s="241" t="s">
        <v>274</v>
      </c>
      <c r="B86" s="242" t="s">
        <v>0</v>
      </c>
      <c r="C86" s="243" t="s">
        <v>39</v>
      </c>
      <c r="D86" s="244" t="s">
        <v>358</v>
      </c>
      <c r="E86" s="245">
        <v>55</v>
      </c>
      <c r="F86" s="61">
        <v>230.71</v>
      </c>
      <c r="G86" s="61">
        <f t="shared" ref="G86:G95" si="8">E86*F86</f>
        <v>12689.050000000001</v>
      </c>
      <c r="H86" s="165">
        <f>G86*H8+G86</f>
        <v>15480.641000000001</v>
      </c>
      <c r="I86" s="75">
        <f t="shared" ref="I86:I110" si="9">H86</f>
        <v>15480.641000000001</v>
      </c>
    </row>
    <row r="87" spans="1:9" ht="31.5" customHeight="1">
      <c r="A87" s="246" t="s">
        <v>461</v>
      </c>
      <c r="B87" s="214" t="s">
        <v>54</v>
      </c>
      <c r="C87" s="159" t="s">
        <v>55</v>
      </c>
      <c r="D87" s="202" t="s">
        <v>358</v>
      </c>
      <c r="E87" s="194">
        <v>16</v>
      </c>
      <c r="F87" s="141">
        <v>180.6</v>
      </c>
      <c r="G87" s="141">
        <f t="shared" si="8"/>
        <v>2889.6</v>
      </c>
      <c r="H87" s="170">
        <f>G87*H8+G87</f>
        <v>3525.3119999999999</v>
      </c>
      <c r="I87" s="83">
        <f t="shared" si="9"/>
        <v>3525.3119999999999</v>
      </c>
    </row>
    <row r="88" spans="1:9" ht="25.5" customHeight="1">
      <c r="A88" s="229" t="s">
        <v>462</v>
      </c>
      <c r="B88" s="95" t="s">
        <v>5</v>
      </c>
      <c r="C88" s="230" t="s">
        <v>53</v>
      </c>
      <c r="D88" s="231" t="s">
        <v>358</v>
      </c>
      <c r="E88" s="222">
        <v>41</v>
      </c>
      <c r="F88" s="121">
        <v>100.05</v>
      </c>
      <c r="G88" s="121">
        <f t="shared" si="8"/>
        <v>4102.05</v>
      </c>
      <c r="H88" s="223">
        <f>G88*H8+G88</f>
        <v>5004.5010000000002</v>
      </c>
      <c r="I88" s="75">
        <f t="shared" si="9"/>
        <v>5004.5010000000002</v>
      </c>
    </row>
    <row r="89" spans="1:9" ht="36" customHeight="1">
      <c r="A89" s="246" t="s">
        <v>463</v>
      </c>
      <c r="B89" s="158" t="s">
        <v>5</v>
      </c>
      <c r="C89" s="159" t="s">
        <v>68</v>
      </c>
      <c r="D89" s="214" t="s">
        <v>358</v>
      </c>
      <c r="E89" s="215">
        <v>3</v>
      </c>
      <c r="F89" s="216">
        <v>100.05</v>
      </c>
      <c r="G89" s="216">
        <f t="shared" si="8"/>
        <v>300.14999999999998</v>
      </c>
      <c r="H89" s="217">
        <f>G89*H8+G89</f>
        <v>366.18299999999999</v>
      </c>
      <c r="I89" s="83">
        <f t="shared" si="9"/>
        <v>366.18299999999999</v>
      </c>
    </row>
    <row r="90" spans="1:9" ht="45" customHeight="1">
      <c r="A90" s="247" t="s">
        <v>464</v>
      </c>
      <c r="B90" s="248" t="s">
        <v>366</v>
      </c>
      <c r="C90" s="196" t="s">
        <v>6</v>
      </c>
      <c r="D90" s="197" t="s">
        <v>358</v>
      </c>
      <c r="E90" s="198">
        <v>3</v>
      </c>
      <c r="F90" s="73">
        <v>71.55</v>
      </c>
      <c r="G90" s="73">
        <f t="shared" si="8"/>
        <v>214.64999999999998</v>
      </c>
      <c r="H90" s="74">
        <f>G90*H8+G90</f>
        <v>261.87299999999999</v>
      </c>
      <c r="I90" s="75">
        <f t="shared" si="9"/>
        <v>261.87299999999999</v>
      </c>
    </row>
    <row r="91" spans="1:9" ht="39.75" customHeight="1">
      <c r="A91" s="246" t="s">
        <v>465</v>
      </c>
      <c r="B91" s="214" t="s">
        <v>366</v>
      </c>
      <c r="C91" s="159" t="s">
        <v>367</v>
      </c>
      <c r="D91" s="202" t="s">
        <v>358</v>
      </c>
      <c r="E91" s="194">
        <v>3</v>
      </c>
      <c r="F91" s="141">
        <v>57.12</v>
      </c>
      <c r="G91" s="141">
        <f t="shared" si="8"/>
        <v>171.35999999999999</v>
      </c>
      <c r="H91" s="170">
        <f>G91*H8+G91</f>
        <v>209.05919999999998</v>
      </c>
      <c r="I91" s="83">
        <f t="shared" si="9"/>
        <v>209.05919999999998</v>
      </c>
    </row>
    <row r="92" spans="1:9" ht="33.75" customHeight="1">
      <c r="A92" s="229" t="s">
        <v>466</v>
      </c>
      <c r="B92" s="95" t="s">
        <v>92</v>
      </c>
      <c r="C92" s="230" t="s">
        <v>79</v>
      </c>
      <c r="D92" s="231" t="s">
        <v>358</v>
      </c>
      <c r="E92" s="222">
        <v>1</v>
      </c>
      <c r="F92" s="121">
        <v>89.4</v>
      </c>
      <c r="G92" s="121">
        <f t="shared" si="8"/>
        <v>89.4</v>
      </c>
      <c r="H92" s="223">
        <f>G92*H8+G92</f>
        <v>109.06800000000001</v>
      </c>
      <c r="I92" s="75">
        <f t="shared" si="9"/>
        <v>109.06800000000001</v>
      </c>
    </row>
    <row r="93" spans="1:9" ht="31.5" customHeight="1">
      <c r="A93" s="246" t="s">
        <v>467</v>
      </c>
      <c r="B93" s="158" t="s">
        <v>93</v>
      </c>
      <c r="C93" s="159" t="s">
        <v>276</v>
      </c>
      <c r="D93" s="214" t="s">
        <v>358</v>
      </c>
      <c r="E93" s="215">
        <v>2</v>
      </c>
      <c r="F93" s="216">
        <v>106.68</v>
      </c>
      <c r="G93" s="216">
        <f t="shared" si="8"/>
        <v>213.36</v>
      </c>
      <c r="H93" s="217">
        <f>G93*H8+G93</f>
        <v>260.29920000000004</v>
      </c>
      <c r="I93" s="83">
        <f t="shared" si="9"/>
        <v>260.29920000000004</v>
      </c>
    </row>
    <row r="94" spans="1:9" ht="22.5" customHeight="1">
      <c r="A94" s="229" t="s">
        <v>468</v>
      </c>
      <c r="B94" s="95" t="s">
        <v>93</v>
      </c>
      <c r="C94" s="230" t="s">
        <v>94</v>
      </c>
      <c r="D94" s="231" t="s">
        <v>358</v>
      </c>
      <c r="E94" s="222">
        <v>4</v>
      </c>
      <c r="F94" s="121">
        <v>106.68</v>
      </c>
      <c r="G94" s="121">
        <f t="shared" si="8"/>
        <v>426.72</v>
      </c>
      <c r="H94" s="223">
        <f>G94*H8+G94</f>
        <v>520.59840000000008</v>
      </c>
      <c r="I94" s="75">
        <f t="shared" si="9"/>
        <v>520.59840000000008</v>
      </c>
    </row>
    <row r="95" spans="1:9" ht="21.75" customHeight="1">
      <c r="A95" s="246" t="s">
        <v>469</v>
      </c>
      <c r="B95" s="158" t="s">
        <v>93</v>
      </c>
      <c r="C95" s="159" t="s">
        <v>112</v>
      </c>
      <c r="D95" s="214" t="s">
        <v>358</v>
      </c>
      <c r="E95" s="215">
        <v>1</v>
      </c>
      <c r="F95" s="216">
        <v>106.68</v>
      </c>
      <c r="G95" s="216">
        <f t="shared" si="8"/>
        <v>106.68</v>
      </c>
      <c r="H95" s="217">
        <f>G95*H8+G95</f>
        <v>130.14960000000002</v>
      </c>
      <c r="I95" s="83">
        <f t="shared" si="9"/>
        <v>130.14960000000002</v>
      </c>
    </row>
    <row r="96" spans="1:9" ht="21.75" customHeight="1">
      <c r="A96" s="247" t="s">
        <v>470</v>
      </c>
      <c r="B96" s="195" t="s">
        <v>118</v>
      </c>
      <c r="C96" s="196" t="s">
        <v>243</v>
      </c>
      <c r="D96" s="248" t="s">
        <v>358</v>
      </c>
      <c r="E96" s="249">
        <v>16</v>
      </c>
      <c r="F96" s="145">
        <f>G96/E96</f>
        <v>349.62437499999999</v>
      </c>
      <c r="G96" s="145">
        <v>5593.99</v>
      </c>
      <c r="H96" s="250">
        <f>G96*H8+G96</f>
        <v>6824.6677999999993</v>
      </c>
      <c r="I96" s="75">
        <f t="shared" si="9"/>
        <v>6824.6677999999993</v>
      </c>
    </row>
    <row r="97" spans="1:9" ht="26.25" customHeight="1">
      <c r="A97" s="246" t="s">
        <v>471</v>
      </c>
      <c r="B97" s="158" t="s">
        <v>118</v>
      </c>
      <c r="C97" s="159" t="s">
        <v>293</v>
      </c>
      <c r="D97" s="214" t="s">
        <v>358</v>
      </c>
      <c r="E97" s="215">
        <v>5</v>
      </c>
      <c r="F97" s="216">
        <f>G97/E97</f>
        <v>68.400000000000006</v>
      </c>
      <c r="G97" s="216">
        <v>342</v>
      </c>
      <c r="H97" s="217">
        <f>G97*H8+G97</f>
        <v>417.24</v>
      </c>
      <c r="I97" s="83">
        <f t="shared" si="9"/>
        <v>417.24</v>
      </c>
    </row>
    <row r="98" spans="1:9" ht="22.5" customHeight="1">
      <c r="A98" s="247" t="s">
        <v>472</v>
      </c>
      <c r="B98" s="195" t="s">
        <v>118</v>
      </c>
      <c r="C98" s="196" t="s">
        <v>216</v>
      </c>
      <c r="D98" s="248" t="s">
        <v>358</v>
      </c>
      <c r="E98" s="249">
        <v>3</v>
      </c>
      <c r="F98" s="145">
        <v>21.8</v>
      </c>
      <c r="G98" s="145">
        <f>E98*F98</f>
        <v>65.400000000000006</v>
      </c>
      <c r="H98" s="250">
        <f>G98*H8+G98</f>
        <v>79.788000000000011</v>
      </c>
      <c r="I98" s="75">
        <f t="shared" si="9"/>
        <v>79.788000000000011</v>
      </c>
    </row>
    <row r="99" spans="1:9" ht="26.25" customHeight="1">
      <c r="A99" s="246" t="s">
        <v>473</v>
      </c>
      <c r="B99" s="158" t="s">
        <v>118</v>
      </c>
      <c r="C99" s="159" t="s">
        <v>190</v>
      </c>
      <c r="D99" s="214" t="s">
        <v>358</v>
      </c>
      <c r="E99" s="215">
        <v>3</v>
      </c>
      <c r="F99" s="216">
        <f>G99/E99</f>
        <v>63.9</v>
      </c>
      <c r="G99" s="216">
        <v>191.7</v>
      </c>
      <c r="H99" s="217">
        <f>G99*H8+G99</f>
        <v>233.874</v>
      </c>
      <c r="I99" s="83">
        <f t="shared" si="9"/>
        <v>233.874</v>
      </c>
    </row>
    <row r="100" spans="1:9" ht="25.5" customHeight="1">
      <c r="A100" s="247" t="s">
        <v>474</v>
      </c>
      <c r="B100" s="195" t="s">
        <v>118</v>
      </c>
      <c r="C100" s="196" t="s">
        <v>191</v>
      </c>
      <c r="D100" s="248" t="s">
        <v>358</v>
      </c>
      <c r="E100" s="249">
        <v>10</v>
      </c>
      <c r="F100" s="145">
        <v>36.72</v>
      </c>
      <c r="G100" s="145">
        <f>E100*F100</f>
        <v>367.2</v>
      </c>
      <c r="H100" s="250">
        <f>G100*H8+G100</f>
        <v>447.98399999999998</v>
      </c>
      <c r="I100" s="75">
        <f t="shared" si="9"/>
        <v>447.98399999999998</v>
      </c>
    </row>
    <row r="101" spans="1:9" ht="18.75" customHeight="1">
      <c r="A101" s="246" t="s">
        <v>475</v>
      </c>
      <c r="B101" s="158" t="s">
        <v>118</v>
      </c>
      <c r="C101" s="159" t="s">
        <v>189</v>
      </c>
      <c r="D101" s="214" t="s">
        <v>358</v>
      </c>
      <c r="E101" s="215">
        <v>1</v>
      </c>
      <c r="F101" s="216">
        <v>42.32</v>
      </c>
      <c r="G101" s="216">
        <f>E101*F101</f>
        <v>42.32</v>
      </c>
      <c r="H101" s="217">
        <f>G101*H8+G101</f>
        <v>51.630400000000002</v>
      </c>
      <c r="I101" s="83">
        <f t="shared" si="9"/>
        <v>51.630400000000002</v>
      </c>
    </row>
    <row r="102" spans="1:9" ht="19.5" customHeight="1">
      <c r="A102" s="247" t="s">
        <v>476</v>
      </c>
      <c r="B102" s="195" t="s">
        <v>118</v>
      </c>
      <c r="C102" s="196" t="s">
        <v>188</v>
      </c>
      <c r="D102" s="248" t="s">
        <v>358</v>
      </c>
      <c r="E102" s="249">
        <v>5</v>
      </c>
      <c r="F102" s="145">
        <v>79.900000000000006</v>
      </c>
      <c r="G102" s="145">
        <f>E102*F102</f>
        <v>399.5</v>
      </c>
      <c r="H102" s="250">
        <f>G102*H8+G102</f>
        <v>487.39</v>
      </c>
      <c r="I102" s="75">
        <f t="shared" si="9"/>
        <v>487.39</v>
      </c>
    </row>
    <row r="103" spans="1:9" ht="24.75" customHeight="1">
      <c r="A103" s="246" t="s">
        <v>477</v>
      </c>
      <c r="B103" s="158" t="s">
        <v>118</v>
      </c>
      <c r="C103" s="159" t="s">
        <v>489</v>
      </c>
      <c r="D103" s="214" t="s">
        <v>358</v>
      </c>
      <c r="E103" s="215">
        <v>4</v>
      </c>
      <c r="F103" s="428" t="s">
        <v>54</v>
      </c>
      <c r="G103" s="428">
        <v>29051</v>
      </c>
      <c r="H103" s="217">
        <f>G103*H8+G103</f>
        <v>35442.22</v>
      </c>
      <c r="I103" s="83">
        <f t="shared" si="9"/>
        <v>35442.22</v>
      </c>
    </row>
    <row r="104" spans="1:9" ht="24.75" customHeight="1">
      <c r="A104" s="247" t="s">
        <v>478</v>
      </c>
      <c r="B104" s="195" t="s">
        <v>285</v>
      </c>
      <c r="C104" s="196" t="s">
        <v>284</v>
      </c>
      <c r="D104" s="195" t="s">
        <v>47</v>
      </c>
      <c r="E104" s="249">
        <v>1</v>
      </c>
      <c r="F104" s="145">
        <v>76.709999999999994</v>
      </c>
      <c r="G104" s="145">
        <f t="shared" ref="G104:G110" si="10">E104*F104</f>
        <v>76.709999999999994</v>
      </c>
      <c r="H104" s="250">
        <f>G104*H8+G104</f>
        <v>93.586199999999991</v>
      </c>
      <c r="I104" s="75">
        <f t="shared" si="9"/>
        <v>93.586199999999991</v>
      </c>
    </row>
    <row r="105" spans="1:9" ht="24.75" customHeight="1">
      <c r="A105" s="246" t="s">
        <v>479</v>
      </c>
      <c r="B105" s="158" t="s">
        <v>292</v>
      </c>
      <c r="C105" s="159" t="s">
        <v>291</v>
      </c>
      <c r="D105" s="158" t="s">
        <v>47</v>
      </c>
      <c r="E105" s="215">
        <v>2</v>
      </c>
      <c r="F105" s="216">
        <v>17.559999999999999</v>
      </c>
      <c r="G105" s="216">
        <f t="shared" si="10"/>
        <v>35.119999999999997</v>
      </c>
      <c r="H105" s="217">
        <f>G105*H8+G105</f>
        <v>42.846399999999996</v>
      </c>
      <c r="I105" s="83">
        <f t="shared" si="9"/>
        <v>42.846399999999996</v>
      </c>
    </row>
    <row r="106" spans="1:9" ht="21.75" customHeight="1">
      <c r="A106" s="247" t="s">
        <v>480</v>
      </c>
      <c r="B106" s="195" t="s">
        <v>287</v>
      </c>
      <c r="C106" s="196" t="s">
        <v>286</v>
      </c>
      <c r="D106" s="195" t="s">
        <v>47</v>
      </c>
      <c r="E106" s="249">
        <v>10</v>
      </c>
      <c r="F106" s="145">
        <v>17.559999999999999</v>
      </c>
      <c r="G106" s="145">
        <f t="shared" si="10"/>
        <v>175.6</v>
      </c>
      <c r="H106" s="250">
        <f>G106*H8+G106</f>
        <v>214.232</v>
      </c>
      <c r="I106" s="75">
        <f t="shared" si="9"/>
        <v>214.232</v>
      </c>
    </row>
    <row r="107" spans="1:9" ht="24" customHeight="1">
      <c r="A107" s="246" t="s">
        <v>481</v>
      </c>
      <c r="B107" s="158" t="s">
        <v>217</v>
      </c>
      <c r="C107" s="159" t="s">
        <v>288</v>
      </c>
      <c r="D107" s="158" t="s">
        <v>47</v>
      </c>
      <c r="E107" s="215">
        <v>1</v>
      </c>
      <c r="F107" s="216">
        <v>41.75</v>
      </c>
      <c r="G107" s="216">
        <f t="shared" si="10"/>
        <v>41.75</v>
      </c>
      <c r="H107" s="217">
        <f>G107*H8+G107</f>
        <v>50.935000000000002</v>
      </c>
      <c r="I107" s="83">
        <f t="shared" si="9"/>
        <v>50.935000000000002</v>
      </c>
    </row>
    <row r="108" spans="1:9" ht="24.75" customHeight="1">
      <c r="A108" s="247" t="s">
        <v>482</v>
      </c>
      <c r="B108" s="195" t="s">
        <v>290</v>
      </c>
      <c r="C108" s="196" t="s">
        <v>289</v>
      </c>
      <c r="D108" s="195" t="s">
        <v>47</v>
      </c>
      <c r="E108" s="249">
        <v>3</v>
      </c>
      <c r="F108" s="145">
        <v>41.75</v>
      </c>
      <c r="G108" s="145">
        <f t="shared" si="10"/>
        <v>125.25</v>
      </c>
      <c r="H108" s="250">
        <f>G108*H8+G108</f>
        <v>152.80500000000001</v>
      </c>
      <c r="I108" s="75">
        <f t="shared" si="9"/>
        <v>152.80500000000001</v>
      </c>
    </row>
    <row r="109" spans="1:9" ht="18" customHeight="1">
      <c r="A109" s="246" t="s">
        <v>483</v>
      </c>
      <c r="B109" s="158" t="s">
        <v>220</v>
      </c>
      <c r="C109" s="159" t="s">
        <v>219</v>
      </c>
      <c r="D109" s="158" t="s">
        <v>47</v>
      </c>
      <c r="E109" s="215">
        <v>1</v>
      </c>
      <c r="F109" s="216">
        <v>228.57</v>
      </c>
      <c r="G109" s="216">
        <f t="shared" si="10"/>
        <v>228.57</v>
      </c>
      <c r="H109" s="217">
        <f>G109*H8+G109</f>
        <v>278.85539999999997</v>
      </c>
      <c r="I109" s="83">
        <f t="shared" si="9"/>
        <v>278.85539999999997</v>
      </c>
    </row>
    <row r="110" spans="1:9" ht="30" customHeight="1">
      <c r="A110" s="247" t="s">
        <v>484</v>
      </c>
      <c r="B110" s="195" t="s">
        <v>294</v>
      </c>
      <c r="C110" s="196" t="s">
        <v>295</v>
      </c>
      <c r="D110" s="195" t="s">
        <v>85</v>
      </c>
      <c r="E110" s="249">
        <v>60</v>
      </c>
      <c r="F110" s="145">
        <v>17.89</v>
      </c>
      <c r="G110" s="145">
        <f t="shared" si="10"/>
        <v>1073.4000000000001</v>
      </c>
      <c r="H110" s="251">
        <f>G110*H8+G110</f>
        <v>1309.5480000000002</v>
      </c>
      <c r="I110" s="75">
        <f t="shared" si="9"/>
        <v>1309.5480000000002</v>
      </c>
    </row>
    <row r="111" spans="1:9" s="453" customFormat="1" ht="21" customHeight="1">
      <c r="A111" s="454"/>
      <c r="B111" s="455"/>
      <c r="C111" s="455"/>
      <c r="D111" s="470" t="s">
        <v>310</v>
      </c>
      <c r="E111" s="471"/>
      <c r="F111" s="471"/>
      <c r="G111" s="471"/>
      <c r="H111" s="472"/>
      <c r="I111" s="456">
        <f>SUM(I86:I110)</f>
        <v>71995.286599999992</v>
      </c>
    </row>
    <row r="112" spans="1:9" s="40" customFormat="1" ht="18.75" customHeight="1">
      <c r="A112" s="504" t="s">
        <v>104</v>
      </c>
      <c r="B112" s="505" t="s">
        <v>356</v>
      </c>
      <c r="C112" s="505" t="s">
        <v>357</v>
      </c>
      <c r="D112" s="486" t="s">
        <v>358</v>
      </c>
      <c r="E112" s="486" t="s">
        <v>359</v>
      </c>
      <c r="F112" s="485" t="s">
        <v>309</v>
      </c>
      <c r="G112" s="486" t="s">
        <v>355</v>
      </c>
      <c r="H112" s="457" t="s">
        <v>354</v>
      </c>
      <c r="I112" s="481" t="s">
        <v>308</v>
      </c>
    </row>
    <row r="113" spans="1:10" s="40" customFormat="1" ht="14.25" customHeight="1">
      <c r="A113" s="474"/>
      <c r="B113" s="476"/>
      <c r="C113" s="476"/>
      <c r="D113" s="478"/>
      <c r="E113" s="478"/>
      <c r="F113" s="484"/>
      <c r="G113" s="478"/>
      <c r="H113" s="48">
        <v>0.22</v>
      </c>
      <c r="I113" s="482"/>
      <c r="J113" s="42"/>
    </row>
    <row r="114" spans="1:10" ht="13.5" customHeight="1">
      <c r="A114" s="108">
        <v>16</v>
      </c>
      <c r="B114" s="109"/>
      <c r="C114" s="110" t="s">
        <v>157</v>
      </c>
      <c r="D114" s="111"/>
      <c r="E114" s="111"/>
      <c r="F114" s="112"/>
      <c r="G114" s="53"/>
      <c r="H114" s="252"/>
      <c r="I114" s="240"/>
    </row>
    <row r="115" spans="1:10" ht="40.5" customHeight="1">
      <c r="A115" s="254" t="s">
        <v>485</v>
      </c>
      <c r="B115" s="79" t="s">
        <v>63</v>
      </c>
      <c r="C115" s="255" t="s">
        <v>113</v>
      </c>
      <c r="D115" s="116" t="s">
        <v>360</v>
      </c>
      <c r="E115" s="91">
        <v>7.57</v>
      </c>
      <c r="F115" s="92">
        <v>83.44</v>
      </c>
      <c r="G115" s="92">
        <f>E115*F115</f>
        <v>631.64080000000001</v>
      </c>
      <c r="H115" s="93">
        <f>G115*H8+G115</f>
        <v>770.60177599999997</v>
      </c>
      <c r="I115" s="83">
        <f>H115</f>
        <v>770.60177599999997</v>
      </c>
    </row>
    <row r="116" spans="1:10" ht="37.5" customHeight="1">
      <c r="A116" s="68" t="s">
        <v>342</v>
      </c>
      <c r="B116" s="71" t="s">
        <v>63</v>
      </c>
      <c r="C116" s="256" t="s">
        <v>114</v>
      </c>
      <c r="D116" s="153" t="s">
        <v>360</v>
      </c>
      <c r="E116" s="120">
        <v>196.03</v>
      </c>
      <c r="F116" s="257">
        <v>83.44</v>
      </c>
      <c r="G116" s="257">
        <f>E116*F116</f>
        <v>16356.743199999999</v>
      </c>
      <c r="H116" s="75">
        <f>G116*H8+G116</f>
        <v>19955.226704000001</v>
      </c>
      <c r="I116" s="75">
        <f>H116</f>
        <v>19955.226704000001</v>
      </c>
    </row>
    <row r="117" spans="1:10" ht="29.25" customHeight="1">
      <c r="A117" s="254" t="s">
        <v>343</v>
      </c>
      <c r="B117" s="79" t="s">
        <v>63</v>
      </c>
      <c r="C117" s="255" t="s">
        <v>115</v>
      </c>
      <c r="D117" s="116" t="s">
        <v>360</v>
      </c>
      <c r="E117" s="91">
        <v>8.18</v>
      </c>
      <c r="F117" s="92">
        <v>83.44</v>
      </c>
      <c r="G117" s="92">
        <f>E117*F117</f>
        <v>682.53919999999994</v>
      </c>
      <c r="H117" s="93">
        <f>G117*H8+G117</f>
        <v>832.69782399999986</v>
      </c>
      <c r="I117" s="83">
        <f>H117</f>
        <v>832.69782399999986</v>
      </c>
    </row>
    <row r="118" spans="1:10" ht="54" customHeight="1">
      <c r="A118" s="68" t="s">
        <v>344</v>
      </c>
      <c r="B118" s="71" t="s">
        <v>3</v>
      </c>
      <c r="C118" s="256" t="s">
        <v>116</v>
      </c>
      <c r="D118" s="429" t="s">
        <v>360</v>
      </c>
      <c r="E118" s="430">
        <v>32.03</v>
      </c>
      <c r="F118" s="431">
        <v>29.01</v>
      </c>
      <c r="G118" s="431">
        <f>E118*F118</f>
        <v>929.19030000000009</v>
      </c>
      <c r="H118" s="432">
        <f>G118*H8+G118</f>
        <v>1133.6121660000001</v>
      </c>
      <c r="I118" s="125">
        <f>H118</f>
        <v>1133.6121660000001</v>
      </c>
    </row>
    <row r="119" spans="1:10" ht="21" customHeight="1">
      <c r="A119" s="258"/>
      <c r="B119" s="259"/>
      <c r="C119" s="259"/>
      <c r="D119" s="470" t="s">
        <v>310</v>
      </c>
      <c r="E119" s="471"/>
      <c r="F119" s="471"/>
      <c r="G119" s="471"/>
      <c r="H119" s="472"/>
      <c r="I119" s="260">
        <f>SUM(I115:I118)</f>
        <v>22692.138469999998</v>
      </c>
    </row>
    <row r="120" spans="1:10" ht="17.25" customHeight="1">
      <c r="A120" s="261">
        <v>17</v>
      </c>
      <c r="B120" s="262"/>
      <c r="C120" s="263" t="s">
        <v>182</v>
      </c>
      <c r="D120" s="264"/>
      <c r="E120" s="264"/>
      <c r="F120" s="265"/>
      <c r="G120" s="265"/>
      <c r="H120" s="266"/>
      <c r="I120" s="267"/>
    </row>
    <row r="121" spans="1:10" ht="40.5" customHeight="1">
      <c r="A121" s="163" t="s">
        <v>345</v>
      </c>
      <c r="B121" s="242" t="s">
        <v>14</v>
      </c>
      <c r="C121" s="243" t="s">
        <v>13</v>
      </c>
      <c r="D121" s="231" t="s">
        <v>358</v>
      </c>
      <c r="E121" s="222">
        <v>2</v>
      </c>
      <c r="F121" s="121">
        <v>427.62</v>
      </c>
      <c r="G121" s="121">
        <f t="shared" ref="G121:G126" si="11">E121*F121</f>
        <v>855.24</v>
      </c>
      <c r="H121" s="268">
        <f>G121*H8+G121</f>
        <v>1043.3928000000001</v>
      </c>
      <c r="I121" s="223">
        <f t="shared" ref="I121:I126" si="12">H121</f>
        <v>1043.3928000000001</v>
      </c>
    </row>
    <row r="122" spans="1:10" ht="43.5" customHeight="1">
      <c r="A122" s="137" t="s">
        <v>346</v>
      </c>
      <c r="B122" s="199" t="s">
        <v>12</v>
      </c>
      <c r="C122" s="200" t="s">
        <v>245</v>
      </c>
      <c r="D122" s="225" t="s">
        <v>358</v>
      </c>
      <c r="E122" s="226">
        <v>2</v>
      </c>
      <c r="F122" s="227">
        <v>286.74</v>
      </c>
      <c r="G122" s="227">
        <f t="shared" si="11"/>
        <v>573.48</v>
      </c>
      <c r="H122" s="228">
        <f>G122*H8+G122</f>
        <v>699.64560000000006</v>
      </c>
      <c r="I122" s="83">
        <f t="shared" si="12"/>
        <v>699.64560000000006</v>
      </c>
    </row>
    <row r="123" spans="1:10" ht="56.25" customHeight="1">
      <c r="A123" s="142" t="s">
        <v>347</v>
      </c>
      <c r="B123" s="248" t="s">
        <v>366</v>
      </c>
      <c r="C123" s="196" t="s">
        <v>15</v>
      </c>
      <c r="D123" s="248" t="s">
        <v>358</v>
      </c>
      <c r="E123" s="249">
        <v>1</v>
      </c>
      <c r="F123" s="145">
        <v>349.72</v>
      </c>
      <c r="G123" s="145">
        <f t="shared" si="11"/>
        <v>349.72</v>
      </c>
      <c r="H123" s="250">
        <f>G123*H8+G123</f>
        <v>426.65840000000003</v>
      </c>
      <c r="I123" s="75">
        <f t="shared" si="12"/>
        <v>426.65840000000003</v>
      </c>
    </row>
    <row r="124" spans="1:10" ht="41.25" customHeight="1">
      <c r="A124" s="157" t="s">
        <v>449</v>
      </c>
      <c r="B124" s="214" t="s">
        <v>368</v>
      </c>
      <c r="C124" s="159" t="s">
        <v>369</v>
      </c>
      <c r="D124" s="214" t="s">
        <v>358</v>
      </c>
      <c r="E124" s="215">
        <v>2</v>
      </c>
      <c r="F124" s="269">
        <v>245.82</v>
      </c>
      <c r="G124" s="92">
        <f t="shared" si="11"/>
        <v>491.64</v>
      </c>
      <c r="H124" s="270">
        <f>G124*H8+G124</f>
        <v>599.80079999999998</v>
      </c>
      <c r="I124" s="93">
        <f t="shared" si="12"/>
        <v>599.80079999999998</v>
      </c>
    </row>
    <row r="125" spans="1:10" ht="28.5" customHeight="1">
      <c r="A125" s="142" t="s">
        <v>450</v>
      </c>
      <c r="B125" s="248" t="s">
        <v>370</v>
      </c>
      <c r="C125" s="196" t="s">
        <v>8</v>
      </c>
      <c r="D125" s="248" t="s">
        <v>358</v>
      </c>
      <c r="E125" s="249">
        <v>1</v>
      </c>
      <c r="F125" s="271">
        <v>46.4</v>
      </c>
      <c r="G125" s="257">
        <f t="shared" si="11"/>
        <v>46.4</v>
      </c>
      <c r="H125" s="272">
        <f>G125*H8+G125</f>
        <v>56.607999999999997</v>
      </c>
      <c r="I125" s="75">
        <f t="shared" si="12"/>
        <v>56.607999999999997</v>
      </c>
    </row>
    <row r="126" spans="1:10" ht="40.5" customHeight="1">
      <c r="A126" s="157" t="s">
        <v>451</v>
      </c>
      <c r="B126" s="158" t="s">
        <v>22</v>
      </c>
      <c r="C126" s="159" t="s">
        <v>7</v>
      </c>
      <c r="D126" s="214" t="s">
        <v>358</v>
      </c>
      <c r="E126" s="215">
        <v>3</v>
      </c>
      <c r="F126" s="216">
        <v>66.709999999999994</v>
      </c>
      <c r="G126" s="216">
        <f t="shared" si="11"/>
        <v>200.13</v>
      </c>
      <c r="H126" s="273">
        <f>G126*H8+G126</f>
        <v>244.15859999999998</v>
      </c>
      <c r="I126" s="93">
        <f t="shared" si="12"/>
        <v>244.15859999999998</v>
      </c>
    </row>
    <row r="127" spans="1:10" ht="18" customHeight="1">
      <c r="A127" s="205"/>
      <c r="B127" s="206"/>
      <c r="C127" s="206"/>
      <c r="D127" s="467" t="s">
        <v>310</v>
      </c>
      <c r="E127" s="468"/>
      <c r="F127" s="468"/>
      <c r="G127" s="468"/>
      <c r="H127" s="469"/>
      <c r="I127" s="274">
        <f>SUM(I121:I126)</f>
        <v>3070.2642000000005</v>
      </c>
    </row>
    <row r="128" spans="1:10" ht="14.25" customHeight="1">
      <c r="A128" s="148">
        <v>18</v>
      </c>
      <c r="B128" s="149"/>
      <c r="C128" s="150" t="s">
        <v>218</v>
      </c>
      <c r="D128" s="132"/>
      <c r="E128" s="132"/>
      <c r="F128" s="133"/>
      <c r="G128" s="133"/>
      <c r="H128" s="239"/>
      <c r="I128" s="240"/>
    </row>
    <row r="129" spans="1:9" ht="20.25" customHeight="1">
      <c r="A129" s="137" t="s">
        <v>452</v>
      </c>
      <c r="B129" s="225" t="s">
        <v>84</v>
      </c>
      <c r="C129" s="200" t="s">
        <v>88</v>
      </c>
      <c r="D129" s="89" t="s">
        <v>85</v>
      </c>
      <c r="E129" s="275">
        <v>2.34</v>
      </c>
      <c r="F129" s="92">
        <v>23.19</v>
      </c>
      <c r="G129" s="92">
        <f>E129*F129</f>
        <v>54.264600000000002</v>
      </c>
      <c r="H129" s="270">
        <f>G129*H8+G129</f>
        <v>66.202811999999994</v>
      </c>
      <c r="I129" s="276">
        <f>H129</f>
        <v>66.202811999999994</v>
      </c>
    </row>
    <row r="130" spans="1:9" ht="21.75" customHeight="1">
      <c r="A130" s="142" t="s">
        <v>453</v>
      </c>
      <c r="B130" s="195" t="s">
        <v>86</v>
      </c>
      <c r="C130" s="196" t="s">
        <v>87</v>
      </c>
      <c r="D130" s="195" t="s">
        <v>85</v>
      </c>
      <c r="E130" s="277">
        <v>2.6</v>
      </c>
      <c r="F130" s="145">
        <v>10.64</v>
      </c>
      <c r="G130" s="145">
        <f>E130*F130</f>
        <v>27.664000000000001</v>
      </c>
      <c r="H130" s="250">
        <f>G130*H8+G130</f>
        <v>33.750080000000004</v>
      </c>
      <c r="I130" s="75">
        <f>H130</f>
        <v>33.750080000000004</v>
      </c>
    </row>
    <row r="131" spans="1:9" ht="19.5" customHeight="1">
      <c r="A131" s="137" t="s">
        <v>454</v>
      </c>
      <c r="B131" s="225" t="s">
        <v>89</v>
      </c>
      <c r="C131" s="200" t="s">
        <v>91</v>
      </c>
      <c r="D131" s="89" t="s">
        <v>90</v>
      </c>
      <c r="E131" s="275">
        <v>0.49</v>
      </c>
      <c r="F131" s="278">
        <v>315.38</v>
      </c>
      <c r="G131" s="92">
        <f>E131*F131</f>
        <v>154.53620000000001</v>
      </c>
      <c r="H131" s="279">
        <f>G131*H8+G131</f>
        <v>188.534164</v>
      </c>
      <c r="I131" s="276">
        <f>H131</f>
        <v>188.534164</v>
      </c>
    </row>
    <row r="132" spans="1:9" ht="18.75" customHeight="1">
      <c r="A132" s="205"/>
      <c r="B132" s="206"/>
      <c r="C132" s="206"/>
      <c r="D132" s="467" t="s">
        <v>310</v>
      </c>
      <c r="E132" s="468"/>
      <c r="F132" s="468"/>
      <c r="G132" s="468"/>
      <c r="H132" s="469"/>
      <c r="I132" s="105">
        <f>SUM(I129:I131)</f>
        <v>288.487056</v>
      </c>
    </row>
    <row r="133" spans="1:9" ht="14.25" customHeight="1">
      <c r="A133" s="190">
        <v>19</v>
      </c>
      <c r="B133" s="280"/>
      <c r="C133" s="281" t="s">
        <v>185</v>
      </c>
      <c r="D133" s="52"/>
      <c r="E133" s="52"/>
      <c r="F133" s="53"/>
      <c r="G133" s="53"/>
      <c r="H133" s="282"/>
      <c r="I133" s="55"/>
    </row>
    <row r="134" spans="1:9" ht="21" customHeight="1">
      <c r="A134" s="163" t="s">
        <v>455</v>
      </c>
      <c r="B134" s="242" t="s">
        <v>4</v>
      </c>
      <c r="C134" s="243" t="s">
        <v>23</v>
      </c>
      <c r="D134" s="244" t="s">
        <v>358</v>
      </c>
      <c r="E134" s="283">
        <v>24</v>
      </c>
      <c r="F134" s="61">
        <v>9.07</v>
      </c>
      <c r="G134" s="61">
        <f>E134*F134</f>
        <v>217.68</v>
      </c>
      <c r="H134" s="165">
        <f>G134*H8+G134</f>
        <v>265.56960000000004</v>
      </c>
      <c r="I134" s="75">
        <f>H134</f>
        <v>265.56960000000004</v>
      </c>
    </row>
    <row r="135" spans="1:9" ht="40.5" customHeight="1">
      <c r="A135" s="137" t="s">
        <v>456</v>
      </c>
      <c r="B135" s="138" t="s">
        <v>2</v>
      </c>
      <c r="C135" s="146" t="s">
        <v>1</v>
      </c>
      <c r="D135" s="77" t="s">
        <v>358</v>
      </c>
      <c r="E135" s="284">
        <v>4</v>
      </c>
      <c r="F135" s="81">
        <v>236.65</v>
      </c>
      <c r="G135" s="81">
        <f>E135*F135</f>
        <v>946.6</v>
      </c>
      <c r="H135" s="82">
        <f>G135*H8+G135</f>
        <v>1154.8520000000001</v>
      </c>
      <c r="I135" s="83">
        <f>H135</f>
        <v>1154.8520000000001</v>
      </c>
    </row>
    <row r="136" spans="1:9" ht="39.75" customHeight="1">
      <c r="A136" s="94" t="s">
        <v>457</v>
      </c>
      <c r="B136" s="95" t="s">
        <v>184</v>
      </c>
      <c r="C136" s="230" t="s">
        <v>183</v>
      </c>
      <c r="D136" s="244" t="s">
        <v>358</v>
      </c>
      <c r="E136" s="283">
        <v>4</v>
      </c>
      <c r="F136" s="61">
        <v>185.65</v>
      </c>
      <c r="G136" s="61">
        <f>E136*F136</f>
        <v>742.6</v>
      </c>
      <c r="H136" s="62">
        <f>G136*H8+G136</f>
        <v>905.97199999999998</v>
      </c>
      <c r="I136" s="75">
        <f>H136</f>
        <v>905.97199999999998</v>
      </c>
    </row>
    <row r="137" spans="1:9" ht="20.25" customHeight="1">
      <c r="A137" s="64"/>
      <c r="B137" s="65"/>
      <c r="C137" s="65"/>
      <c r="D137" s="467" t="s">
        <v>310</v>
      </c>
      <c r="E137" s="468"/>
      <c r="F137" s="468"/>
      <c r="G137" s="468"/>
      <c r="H137" s="469"/>
      <c r="I137" s="66">
        <f>SUM(I134:I136)</f>
        <v>2326.3936000000003</v>
      </c>
    </row>
    <row r="138" spans="1:9" ht="15" customHeight="1">
      <c r="A138" s="190">
        <v>20</v>
      </c>
      <c r="B138" s="280"/>
      <c r="C138" s="281" t="s">
        <v>43</v>
      </c>
      <c r="D138" s="52"/>
      <c r="E138" s="52"/>
      <c r="F138" s="53"/>
      <c r="G138" s="53"/>
      <c r="H138" s="67"/>
      <c r="I138" s="55"/>
    </row>
    <row r="139" spans="1:9" ht="31.5" customHeight="1">
      <c r="A139" s="163" t="s">
        <v>458</v>
      </c>
      <c r="B139" s="242" t="s">
        <v>118</v>
      </c>
      <c r="C139" s="243" t="s">
        <v>246</v>
      </c>
      <c r="D139" s="135" t="s">
        <v>47</v>
      </c>
      <c r="E139" s="283">
        <v>2</v>
      </c>
      <c r="F139" s="61">
        <v>796</v>
      </c>
      <c r="G139" s="61">
        <f>E139*F139</f>
        <v>1592</v>
      </c>
      <c r="H139" s="165">
        <f>G139*H8+G139</f>
        <v>1942.24</v>
      </c>
      <c r="I139" s="75">
        <f>H139</f>
        <v>1942.24</v>
      </c>
    </row>
    <row r="140" spans="1:9" ht="35.25" customHeight="1">
      <c r="A140" s="157" t="s">
        <v>459</v>
      </c>
      <c r="B140" s="158" t="s">
        <v>118</v>
      </c>
      <c r="C140" s="159" t="s">
        <v>150</v>
      </c>
      <c r="D140" s="160" t="s">
        <v>47</v>
      </c>
      <c r="E140" s="285">
        <v>2</v>
      </c>
      <c r="F140" s="141">
        <v>831</v>
      </c>
      <c r="G140" s="141">
        <f>E140*F140</f>
        <v>1662</v>
      </c>
      <c r="H140" s="286">
        <f>G140*H8+G140</f>
        <v>2027.6399999999999</v>
      </c>
      <c r="I140" s="276">
        <f>H140</f>
        <v>2027.6399999999999</v>
      </c>
    </row>
    <row r="141" spans="1:9" ht="22.5" customHeight="1">
      <c r="A141" s="64"/>
      <c r="B141" s="65"/>
      <c r="C141" s="65"/>
      <c r="D141" s="467" t="s">
        <v>310</v>
      </c>
      <c r="E141" s="468"/>
      <c r="F141" s="468"/>
      <c r="G141" s="468"/>
      <c r="H141" s="469"/>
      <c r="I141" s="66">
        <f>I139+I140</f>
        <v>3969.88</v>
      </c>
    </row>
    <row r="142" spans="1:9" ht="17.25" customHeight="1">
      <c r="A142" s="49">
        <v>21</v>
      </c>
      <c r="B142" s="50"/>
      <c r="C142" s="51" t="s">
        <v>186</v>
      </c>
      <c r="D142" s="52"/>
      <c r="E142" s="52"/>
      <c r="F142" s="53"/>
      <c r="G142" s="53"/>
      <c r="H142" s="67"/>
      <c r="I142" s="55"/>
    </row>
    <row r="143" spans="1:9" ht="33.75" customHeight="1">
      <c r="A143" s="157" t="s">
        <v>460</v>
      </c>
      <c r="B143" s="158" t="s">
        <v>118</v>
      </c>
      <c r="C143" s="159" t="s">
        <v>187</v>
      </c>
      <c r="D143" s="160" t="s">
        <v>47</v>
      </c>
      <c r="E143" s="161">
        <v>1</v>
      </c>
      <c r="F143" s="141">
        <v>4220</v>
      </c>
      <c r="G143" s="141">
        <f>E143*F143</f>
        <v>4220</v>
      </c>
      <c r="H143" s="286">
        <f>G143*H8+G143</f>
        <v>5148.3999999999996</v>
      </c>
      <c r="I143" s="276">
        <f>H143</f>
        <v>5148.3999999999996</v>
      </c>
    </row>
    <row r="144" spans="1:9" ht="18.75" customHeight="1">
      <c r="A144" s="64"/>
      <c r="B144" s="65"/>
      <c r="C144" s="65"/>
      <c r="D144" s="467" t="s">
        <v>310</v>
      </c>
      <c r="E144" s="468"/>
      <c r="F144" s="468"/>
      <c r="G144" s="468"/>
      <c r="H144" s="469"/>
      <c r="I144" s="66">
        <f>SUM(I143:I143)</f>
        <v>5148.3999999999996</v>
      </c>
    </row>
    <row r="145" spans="1:11" s="30" customFormat="1" ht="21.75" customHeight="1">
      <c r="A145" s="45"/>
      <c r="B145" s="287"/>
      <c r="C145" s="288" t="s">
        <v>82</v>
      </c>
      <c r="D145" s="459" t="s">
        <v>83</v>
      </c>
      <c r="E145" s="460"/>
      <c r="F145" s="289"/>
      <c r="G145" s="290"/>
      <c r="H145" s="291"/>
      <c r="I145" s="292">
        <f>I144+I141+I137+I132+I127+I119+I111+I84+I76+I63+I59+I51+I48+I45+I39+I36+I30+I27+I24+I19+I11</f>
        <v>198702.47665000003</v>
      </c>
    </row>
    <row r="146" spans="1:11">
      <c r="A146" s="46"/>
      <c r="I146" s="409"/>
    </row>
    <row r="147" spans="1:11">
      <c r="K147" s="39"/>
    </row>
    <row r="149" spans="1:11">
      <c r="C149" s="487" t="s">
        <v>488</v>
      </c>
      <c r="D149" s="487"/>
      <c r="E149" s="487"/>
      <c r="F149" s="487"/>
      <c r="G149" s="487"/>
    </row>
    <row r="150" spans="1:11" ht="15">
      <c r="C150" s="488" t="s">
        <v>510</v>
      </c>
      <c r="D150" s="488"/>
      <c r="E150" s="488"/>
      <c r="F150" s="488"/>
      <c r="G150" s="488"/>
    </row>
    <row r="153" spans="1:11">
      <c r="A153" s="1"/>
    </row>
    <row r="154" spans="1:11">
      <c r="A154" s="1"/>
    </row>
    <row r="155" spans="1:11">
      <c r="A155" s="1"/>
    </row>
    <row r="185" spans="3:3">
      <c r="C185" s="36"/>
    </row>
  </sheetData>
  <mergeCells count="58">
    <mergeCell ref="I112:I113"/>
    <mergeCell ref="A112:A113"/>
    <mergeCell ref="B112:B113"/>
    <mergeCell ref="C112:C113"/>
    <mergeCell ref="D112:D113"/>
    <mergeCell ref="E112:E113"/>
    <mergeCell ref="D144:H144"/>
    <mergeCell ref="C149:G149"/>
    <mergeCell ref="C150:G150"/>
    <mergeCell ref="D2:E4"/>
    <mergeCell ref="A1:I1"/>
    <mergeCell ref="F2:G4"/>
    <mergeCell ref="H2:I4"/>
    <mergeCell ref="D5:G5"/>
    <mergeCell ref="A64:A65"/>
    <mergeCell ref="B64:B65"/>
    <mergeCell ref="C64:C65"/>
    <mergeCell ref="D64:D65"/>
    <mergeCell ref="E64:E65"/>
    <mergeCell ref="F64:F65"/>
    <mergeCell ref="G64:G65"/>
    <mergeCell ref="I7:I8"/>
    <mergeCell ref="D137:H137"/>
    <mergeCell ref="D141:H141"/>
    <mergeCell ref="D36:H36"/>
    <mergeCell ref="D39:H39"/>
    <mergeCell ref="D45:H45"/>
    <mergeCell ref="D48:H48"/>
    <mergeCell ref="D51:H51"/>
    <mergeCell ref="D84:H84"/>
    <mergeCell ref="D111:H111"/>
    <mergeCell ref="D119:H119"/>
    <mergeCell ref="D132:H132"/>
    <mergeCell ref="D127:H127"/>
    <mergeCell ref="F112:F113"/>
    <mergeCell ref="G112:G113"/>
    <mergeCell ref="I64:I65"/>
    <mergeCell ref="G7:G8"/>
    <mergeCell ref="D11:H11"/>
    <mergeCell ref="D19:H19"/>
    <mergeCell ref="D24:H24"/>
    <mergeCell ref="F7:F8"/>
    <mergeCell ref="D145:E145"/>
    <mergeCell ref="A4:C4"/>
    <mergeCell ref="A2:C2"/>
    <mergeCell ref="A3:C3"/>
    <mergeCell ref="A5:C5"/>
    <mergeCell ref="D27:H27"/>
    <mergeCell ref="D30:H30"/>
    <mergeCell ref="D59:H59"/>
    <mergeCell ref="D63:H63"/>
    <mergeCell ref="D76:H76"/>
    <mergeCell ref="A7:A8"/>
    <mergeCell ref="B7:B8"/>
    <mergeCell ref="C7:C8"/>
    <mergeCell ref="D7:D8"/>
    <mergeCell ref="E7:E8"/>
    <mergeCell ref="D6:I6"/>
  </mergeCells>
  <pageMargins left="0.23622047244094491" right="0.23622047244094491" top="0.74803149606299213" bottom="0.19685039370078741" header="0.31496062992125984" footer="0.31496062992125984"/>
  <pageSetup paperSize="9" scale="53" orientation="portrait" r:id="rId1"/>
  <rowBreaks count="2" manualBreakCount="2">
    <brk id="63" max="8" man="1"/>
    <brk id="11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8335-A830-40D3-BF25-840C65F8BE72}">
  <dimension ref="A1:S1030"/>
  <sheetViews>
    <sheetView view="pageBreakPreview" topLeftCell="A7" zoomScale="70" zoomScaleNormal="95" zoomScaleSheetLayoutView="70" workbookViewId="0">
      <selection activeCell="E11" sqref="E11"/>
    </sheetView>
  </sheetViews>
  <sheetFormatPr defaultRowHeight="15.75"/>
  <cols>
    <col min="2" max="2" width="25.6640625" style="300" customWidth="1"/>
    <col min="3" max="3" width="28.33203125" style="300" customWidth="1"/>
    <col min="4" max="4" width="14.83203125" style="300" customWidth="1"/>
    <col min="5" max="5" width="23.83203125" style="300" customWidth="1"/>
    <col min="6" max="6" width="24" style="300" customWidth="1"/>
    <col min="7" max="7" width="29" style="300" customWidth="1"/>
    <col min="8" max="8" width="25.83203125" style="300" customWidth="1"/>
    <col min="9" max="9" width="13.5" style="300" customWidth="1"/>
  </cols>
  <sheetData>
    <row r="1" spans="2:11" s="13" customFormat="1" ht="21">
      <c r="B1" s="544" t="s">
        <v>505</v>
      </c>
      <c r="C1" s="544"/>
      <c r="D1" s="544"/>
      <c r="E1" s="544"/>
      <c r="F1" s="544"/>
      <c r="G1" s="544"/>
      <c r="H1" s="544"/>
      <c r="I1" s="544"/>
      <c r="J1" s="25"/>
      <c r="K1" s="25"/>
    </row>
    <row r="2" spans="2:11" s="13" customFormat="1">
      <c r="B2" s="298"/>
      <c r="C2" s="298"/>
      <c r="D2" s="298"/>
      <c r="E2" s="298"/>
      <c r="F2" s="298"/>
      <c r="G2" s="298"/>
      <c r="H2" s="298"/>
      <c r="I2" s="298"/>
    </row>
    <row r="3" spans="2:11" s="27" customFormat="1" ht="18.75">
      <c r="B3" s="25" t="s">
        <v>140</v>
      </c>
    </row>
    <row r="4" spans="2:11" s="27" customFormat="1" ht="18.75">
      <c r="B4" s="297"/>
      <c r="C4" s="298"/>
      <c r="D4" s="298"/>
      <c r="E4" s="298"/>
      <c r="F4" s="298"/>
      <c r="G4" s="298"/>
      <c r="H4" s="298"/>
      <c r="I4" s="298"/>
    </row>
    <row r="5" spans="2:11" s="13" customFormat="1" ht="15.75" customHeight="1">
      <c r="B5" s="299" t="s">
        <v>141</v>
      </c>
      <c r="C5" s="298"/>
      <c r="D5" s="298"/>
      <c r="E5" s="298"/>
      <c r="F5" s="298"/>
      <c r="G5" s="298"/>
      <c r="H5" s="298"/>
      <c r="I5" s="298"/>
    </row>
    <row r="6" spans="2:11" s="13" customFormat="1">
      <c r="B6" s="298"/>
      <c r="C6" s="298"/>
      <c r="D6" s="298"/>
      <c r="E6" s="298"/>
      <c r="F6" s="298"/>
      <c r="G6" s="298"/>
      <c r="H6" s="298"/>
      <c r="I6" s="298"/>
    </row>
    <row r="7" spans="2:11" s="13" customFormat="1">
      <c r="B7" s="298"/>
      <c r="C7" s="533" t="s">
        <v>142</v>
      </c>
      <c r="D7" s="534"/>
      <c r="E7" s="298"/>
      <c r="F7" s="298"/>
      <c r="G7" s="298"/>
      <c r="H7" s="298"/>
      <c r="I7" s="298"/>
    </row>
    <row r="8" spans="2:11" s="13" customFormat="1">
      <c r="B8" s="298"/>
      <c r="C8" s="298"/>
      <c r="D8" s="298"/>
      <c r="E8" s="298"/>
      <c r="F8" s="298"/>
      <c r="G8" s="298"/>
      <c r="H8" s="298"/>
      <c r="I8" s="298"/>
    </row>
    <row r="9" spans="2:11" s="27" customFormat="1" ht="18.75">
      <c r="B9" s="25" t="s">
        <v>151</v>
      </c>
    </row>
    <row r="10" spans="2:11" s="27" customFormat="1" ht="18.75">
      <c r="B10" s="297"/>
      <c r="C10" s="298"/>
      <c r="D10" s="298"/>
      <c r="E10" s="298"/>
      <c r="F10" s="298"/>
      <c r="G10" s="298"/>
      <c r="H10" s="298"/>
      <c r="I10" s="298"/>
    </row>
    <row r="11" spans="2:11" ht="18" customHeight="1">
      <c r="B11" s="299" t="s">
        <v>156</v>
      </c>
      <c r="C11" s="298"/>
      <c r="D11" s="298"/>
      <c r="E11" s="298"/>
      <c r="F11" s="298"/>
      <c r="G11" s="298"/>
      <c r="H11" s="298"/>
    </row>
    <row r="12" spans="2:11">
      <c r="B12" s="299"/>
      <c r="C12" s="298"/>
      <c r="D12" s="298"/>
      <c r="E12" s="298"/>
      <c r="F12" s="298"/>
      <c r="G12" s="298"/>
      <c r="H12" s="298"/>
    </row>
    <row r="13" spans="2:11">
      <c r="B13" s="23"/>
      <c r="C13" s="301" t="s">
        <v>127</v>
      </c>
      <c r="D13" s="301" t="s">
        <v>162</v>
      </c>
      <c r="E13" s="23"/>
      <c r="F13" s="23"/>
      <c r="G13" s="23"/>
      <c r="H13" s="23"/>
    </row>
    <row r="14" spans="2:11" ht="31.5">
      <c r="B14" s="23"/>
      <c r="C14" s="302" t="s">
        <v>132</v>
      </c>
      <c r="D14" s="303">
        <v>5.24</v>
      </c>
      <c r="E14" s="23"/>
      <c r="F14" s="23"/>
      <c r="G14" s="23"/>
      <c r="H14" s="23"/>
    </row>
    <row r="15" spans="2:11">
      <c r="B15" s="23"/>
      <c r="C15" s="23"/>
      <c r="D15" s="304">
        <f>SUM(D14:D14)</f>
        <v>5.24</v>
      </c>
      <c r="E15" s="305" t="s">
        <v>90</v>
      </c>
      <c r="F15" s="23"/>
      <c r="G15" s="23"/>
      <c r="H15" s="23"/>
    </row>
    <row r="16" spans="2:11">
      <c r="B16" s="306"/>
      <c r="C16" s="306"/>
      <c r="D16" s="306"/>
      <c r="E16" s="307"/>
      <c r="F16" s="308"/>
      <c r="G16" s="309"/>
      <c r="H16" s="298"/>
    </row>
    <row r="17" spans="2:8" ht="20.25" customHeight="1">
      <c r="B17" s="299" t="s">
        <v>158</v>
      </c>
      <c r="C17" s="298"/>
      <c r="D17" s="298"/>
      <c r="E17" s="298"/>
      <c r="F17" s="298"/>
      <c r="G17" s="298"/>
      <c r="H17" s="298"/>
    </row>
    <row r="18" spans="2:8">
      <c r="B18" s="299"/>
      <c r="C18" s="298"/>
      <c r="D18" s="298"/>
      <c r="E18" s="298"/>
      <c r="F18" s="298"/>
      <c r="G18" s="298"/>
      <c r="H18" s="298"/>
    </row>
    <row r="19" spans="2:8">
      <c r="B19" s="23"/>
      <c r="C19" s="301" t="s">
        <v>127</v>
      </c>
      <c r="D19" s="301" t="s">
        <v>162</v>
      </c>
      <c r="E19" s="23"/>
      <c r="F19" s="23"/>
      <c r="G19" s="23"/>
      <c r="H19" s="23"/>
    </row>
    <row r="20" spans="2:8">
      <c r="B20" s="23"/>
      <c r="C20" s="301" t="s">
        <v>131</v>
      </c>
      <c r="D20" s="310">
        <v>0.55000000000000004</v>
      </c>
      <c r="E20" s="23"/>
      <c r="F20" s="23"/>
      <c r="G20" s="23"/>
      <c r="H20" s="23"/>
    </row>
    <row r="21" spans="2:8">
      <c r="B21" s="23"/>
      <c r="C21" s="301" t="s">
        <v>130</v>
      </c>
      <c r="D21" s="310">
        <v>2.25</v>
      </c>
      <c r="E21" s="23"/>
      <c r="F21" s="23"/>
      <c r="G21" s="23"/>
      <c r="H21" s="23"/>
    </row>
    <row r="22" spans="2:8">
      <c r="B22" s="23"/>
      <c r="C22" s="23"/>
      <c r="D22" s="304">
        <f>SUM(D20:D21)</f>
        <v>2.8</v>
      </c>
      <c r="E22" s="305" t="s">
        <v>90</v>
      </c>
      <c r="F22" s="23"/>
      <c r="G22" s="23"/>
      <c r="H22" s="23"/>
    </row>
    <row r="23" spans="2:8">
      <c r="B23" s="306"/>
      <c r="C23" s="306"/>
      <c r="D23" s="306"/>
      <c r="E23" s="307"/>
      <c r="F23" s="308"/>
      <c r="G23" s="309"/>
      <c r="H23" s="298"/>
    </row>
    <row r="24" spans="2:8">
      <c r="B24" s="524" t="s">
        <v>312</v>
      </c>
      <c r="C24" s="524"/>
      <c r="D24" s="524"/>
      <c r="E24" s="524"/>
      <c r="F24" s="524"/>
      <c r="G24" s="524"/>
      <c r="H24" s="524"/>
    </row>
    <row r="25" spans="2:8">
      <c r="B25" s="299"/>
      <c r="C25" s="298"/>
      <c r="D25" s="298"/>
      <c r="E25" s="298"/>
      <c r="F25" s="298"/>
      <c r="G25" s="298"/>
      <c r="H25" s="298"/>
    </row>
    <row r="26" spans="2:8">
      <c r="B26" s="298"/>
      <c r="C26" s="301" t="s">
        <v>120</v>
      </c>
      <c r="D26" s="301" t="s">
        <v>121</v>
      </c>
      <c r="E26" s="301" t="s">
        <v>122</v>
      </c>
      <c r="F26" s="301" t="s">
        <v>123</v>
      </c>
      <c r="G26" s="298"/>
      <c r="H26" s="298"/>
    </row>
    <row r="27" spans="2:8">
      <c r="B27" s="298"/>
      <c r="C27" s="301">
        <v>0.8</v>
      </c>
      <c r="D27" s="310">
        <v>2.1</v>
      </c>
      <c r="E27" s="311">
        <v>1</v>
      </c>
      <c r="F27" s="312">
        <f>C27*D27*E27</f>
        <v>1.6800000000000002</v>
      </c>
      <c r="G27" s="313"/>
      <c r="H27" s="314"/>
    </row>
    <row r="28" spans="2:8">
      <c r="B28" s="538"/>
      <c r="C28" s="538"/>
      <c r="D28" s="538"/>
      <c r="E28" s="315"/>
      <c r="F28" s="316">
        <f>SUM(F27:F27)-E28</f>
        <v>1.6800000000000002</v>
      </c>
      <c r="G28" s="305" t="s">
        <v>90</v>
      </c>
      <c r="H28" s="298"/>
    </row>
    <row r="29" spans="2:8">
      <c r="B29" s="306"/>
      <c r="C29" s="306"/>
      <c r="D29" s="306"/>
      <c r="E29" s="307"/>
      <c r="F29" s="308"/>
      <c r="G29" s="309"/>
      <c r="H29" s="298"/>
    </row>
    <row r="30" spans="2:8">
      <c r="B30" s="524" t="s">
        <v>313</v>
      </c>
      <c r="C30" s="524"/>
      <c r="D30" s="524"/>
      <c r="E30" s="524"/>
      <c r="F30" s="524"/>
      <c r="G30" s="524"/>
      <c r="H30" s="524"/>
    </row>
    <row r="31" spans="2:8">
      <c r="B31" s="299"/>
      <c r="C31" s="298"/>
      <c r="D31" s="298"/>
      <c r="E31" s="298"/>
      <c r="F31" s="298"/>
      <c r="G31" s="298"/>
      <c r="H31" s="298"/>
    </row>
    <row r="32" spans="2:8">
      <c r="B32" s="23"/>
      <c r="C32" s="301" t="s">
        <v>127</v>
      </c>
      <c r="D32" s="301" t="s">
        <v>122</v>
      </c>
      <c r="E32" s="23"/>
      <c r="F32" s="23"/>
      <c r="G32" s="23"/>
      <c r="H32" s="23"/>
    </row>
    <row r="33" spans="2:9" ht="31.5">
      <c r="B33" s="23"/>
      <c r="C33" s="302" t="s">
        <v>132</v>
      </c>
      <c r="D33" s="303">
        <v>2</v>
      </c>
      <c r="E33" s="23"/>
      <c r="F33" s="23"/>
      <c r="G33" s="23"/>
      <c r="H33" s="23"/>
    </row>
    <row r="34" spans="2:9">
      <c r="B34" s="23"/>
      <c r="C34" s="23"/>
      <c r="D34" s="304">
        <f>SUM(D33:D33)</f>
        <v>2</v>
      </c>
      <c r="E34" s="305" t="s">
        <v>128</v>
      </c>
      <c r="F34" s="23"/>
      <c r="G34" s="23"/>
      <c r="H34" s="23"/>
    </row>
    <row r="35" spans="2:9">
      <c r="B35" s="298"/>
      <c r="C35" s="298"/>
      <c r="D35" s="298"/>
      <c r="E35" s="298"/>
      <c r="F35" s="298"/>
      <c r="G35" s="298"/>
      <c r="H35" s="298"/>
    </row>
    <row r="36" spans="2:9">
      <c r="B36" s="524" t="s">
        <v>314</v>
      </c>
      <c r="C36" s="524"/>
      <c r="D36" s="524"/>
      <c r="E36" s="524"/>
      <c r="F36" s="524"/>
      <c r="G36" s="524"/>
      <c r="H36" s="524"/>
    </row>
    <row r="37" spans="2:9">
      <c r="B37" s="299"/>
      <c r="C37" s="298"/>
      <c r="D37" s="298"/>
      <c r="E37" s="298"/>
      <c r="F37" s="298"/>
      <c r="G37" s="298"/>
      <c r="H37" s="298"/>
    </row>
    <row r="38" spans="2:9">
      <c r="B38" s="298"/>
      <c r="C38" s="301" t="s">
        <v>120</v>
      </c>
      <c r="D38" s="301" t="s">
        <v>122</v>
      </c>
      <c r="E38" s="301" t="s">
        <v>203</v>
      </c>
      <c r="F38" s="301"/>
      <c r="G38" s="298"/>
      <c r="H38" s="298"/>
    </row>
    <row r="39" spans="2:9">
      <c r="B39" s="298"/>
      <c r="C39" s="301">
        <v>0.8</v>
      </c>
      <c r="D39" s="310">
        <v>1</v>
      </c>
      <c r="E39" s="312">
        <f>C39*D39</f>
        <v>0.8</v>
      </c>
      <c r="F39" s="312"/>
      <c r="G39" s="313"/>
      <c r="H39" s="314"/>
    </row>
    <row r="40" spans="2:9">
      <c r="B40" s="538"/>
      <c r="C40" s="538"/>
      <c r="D40" s="539"/>
      <c r="E40" s="316">
        <f>E39</f>
        <v>0.8</v>
      </c>
      <c r="F40" s="305" t="s">
        <v>85</v>
      </c>
      <c r="G40" s="309"/>
      <c r="H40" s="298"/>
    </row>
    <row r="41" spans="2:9">
      <c r="B41" s="306"/>
      <c r="C41" s="306"/>
      <c r="D41" s="306"/>
      <c r="E41" s="307"/>
      <c r="F41" s="308"/>
      <c r="G41" s="309"/>
      <c r="H41" s="298"/>
    </row>
    <row r="42" spans="2:9">
      <c r="B42" s="524" t="s">
        <v>315</v>
      </c>
      <c r="C42" s="524"/>
      <c r="D42" s="524"/>
      <c r="E42" s="524"/>
      <c r="F42" s="524"/>
      <c r="G42" s="524"/>
      <c r="H42" s="298"/>
    </row>
    <row r="43" spans="2:9">
      <c r="B43" s="299"/>
      <c r="C43" s="298"/>
      <c r="D43" s="298"/>
      <c r="E43" s="298"/>
      <c r="F43" s="298"/>
      <c r="G43" s="298"/>
      <c r="H43" s="298"/>
    </row>
    <row r="44" spans="2:9">
      <c r="B44" s="23"/>
      <c r="C44" s="301" t="s">
        <v>127</v>
      </c>
      <c r="D44" s="301" t="s">
        <v>162</v>
      </c>
      <c r="E44" s="23"/>
      <c r="F44" s="23"/>
      <c r="G44" s="23"/>
      <c r="H44" s="23"/>
    </row>
    <row r="45" spans="2:9" ht="31.5" customHeight="1">
      <c r="B45" s="23"/>
      <c r="C45" s="317" t="s">
        <v>132</v>
      </c>
      <c r="D45" s="303">
        <v>20.22</v>
      </c>
      <c r="E45" s="23"/>
      <c r="F45" s="23"/>
      <c r="G45" s="23"/>
      <c r="H45" s="23"/>
    </row>
    <row r="46" spans="2:9">
      <c r="B46" s="23"/>
      <c r="C46" s="23"/>
      <c r="D46" s="304">
        <f>SUM(D45:D45)</f>
        <v>20.22</v>
      </c>
      <c r="E46" s="305" t="s">
        <v>90</v>
      </c>
      <c r="F46" s="23"/>
      <c r="G46" s="23"/>
      <c r="H46" s="23"/>
    </row>
    <row r="47" spans="2:9">
      <c r="B47" s="306"/>
      <c r="C47" s="306"/>
      <c r="D47" s="306"/>
      <c r="E47" s="307"/>
      <c r="F47" s="308"/>
      <c r="G47" s="309"/>
      <c r="H47" s="298"/>
    </row>
    <row r="48" spans="2:9" s="26" customFormat="1" ht="18.75">
      <c r="B48" s="297" t="s">
        <v>169</v>
      </c>
      <c r="C48" s="298"/>
      <c r="D48" s="298"/>
      <c r="E48" s="298"/>
      <c r="F48" s="298"/>
      <c r="G48" s="298"/>
      <c r="H48" s="298"/>
      <c r="I48" s="300"/>
    </row>
    <row r="49" spans="2:9" s="26" customFormat="1" ht="15.75" customHeight="1">
      <c r="B49" s="297"/>
      <c r="C49" s="298"/>
      <c r="D49" s="298"/>
      <c r="E49" s="298"/>
      <c r="F49" s="298"/>
      <c r="G49" s="298"/>
      <c r="H49" s="298"/>
      <c r="I49" s="300"/>
    </row>
    <row r="50" spans="2:9" ht="17.25" customHeight="1">
      <c r="B50" s="523" t="s">
        <v>337</v>
      </c>
      <c r="C50" s="523"/>
      <c r="D50" s="523"/>
      <c r="E50" s="523"/>
      <c r="F50" s="523"/>
      <c r="G50" s="523"/>
      <c r="H50" s="523"/>
    </row>
    <row r="51" spans="2:9">
      <c r="B51" s="299"/>
      <c r="C51" s="298"/>
      <c r="D51" s="298"/>
      <c r="E51" s="298"/>
      <c r="F51" s="298"/>
      <c r="G51" s="298"/>
      <c r="H51" s="298"/>
    </row>
    <row r="52" spans="2:9">
      <c r="B52" s="298"/>
      <c r="C52" s="535" t="s">
        <v>119</v>
      </c>
      <c r="D52" s="536"/>
      <c r="E52" s="536"/>
      <c r="F52" s="537"/>
      <c r="G52" s="313" t="s">
        <v>69</v>
      </c>
      <c r="H52" s="298"/>
    </row>
    <row r="53" spans="2:9">
      <c r="B53" s="298"/>
      <c r="C53" s="301" t="s">
        <v>120</v>
      </c>
      <c r="D53" s="301" t="s">
        <v>121</v>
      </c>
      <c r="E53" s="301" t="s">
        <v>122</v>
      </c>
      <c r="F53" s="301" t="s">
        <v>123</v>
      </c>
      <c r="G53" s="298"/>
      <c r="H53" s="298"/>
    </row>
    <row r="54" spans="2:9">
      <c r="B54" s="298"/>
      <c r="C54" s="301">
        <v>0.08</v>
      </c>
      <c r="D54" s="311">
        <v>2.85</v>
      </c>
      <c r="E54" s="311">
        <v>1</v>
      </c>
      <c r="F54" s="312">
        <f>C54*D54*E54</f>
        <v>0.22800000000000001</v>
      </c>
      <c r="G54" s="313"/>
      <c r="H54" s="314"/>
    </row>
    <row r="55" spans="2:9">
      <c r="B55" s="298"/>
      <c r="C55" s="301">
        <v>1.26</v>
      </c>
      <c r="D55" s="310">
        <v>2.85</v>
      </c>
      <c r="E55" s="311">
        <v>1</v>
      </c>
      <c r="F55" s="312">
        <f>C55*D55*E55</f>
        <v>3.5910000000000002</v>
      </c>
      <c r="G55" s="313"/>
      <c r="H55" s="314"/>
    </row>
    <row r="56" spans="2:9">
      <c r="B56" s="538"/>
      <c r="C56" s="538"/>
      <c r="D56" s="538"/>
      <c r="E56" s="315"/>
      <c r="F56" s="316">
        <f>SUM(F54:F55)</f>
        <v>3.8190000000000004</v>
      </c>
      <c r="G56" s="305" t="s">
        <v>90</v>
      </c>
      <c r="H56" s="298"/>
    </row>
    <row r="57" spans="2:9">
      <c r="B57" s="306"/>
      <c r="C57" s="306"/>
      <c r="D57" s="306"/>
      <c r="E57" s="307"/>
      <c r="F57" s="308"/>
      <c r="G57" s="309"/>
      <c r="H57" s="298"/>
    </row>
    <row r="58" spans="2:9">
      <c r="B58" s="524" t="s">
        <v>336</v>
      </c>
      <c r="C58" s="524"/>
      <c r="D58" s="524"/>
      <c r="E58" s="524"/>
      <c r="F58" s="524"/>
      <c r="G58" s="524"/>
      <c r="H58" s="524"/>
    </row>
    <row r="59" spans="2:9">
      <c r="B59" s="314"/>
      <c r="C59" s="298"/>
      <c r="D59" s="298"/>
      <c r="E59" s="298"/>
      <c r="F59" s="298"/>
      <c r="G59" s="314"/>
      <c r="H59" s="298"/>
    </row>
    <row r="60" spans="2:9">
      <c r="B60" s="318"/>
      <c r="C60" s="540" t="s">
        <v>119</v>
      </c>
      <c r="D60" s="541"/>
      <c r="E60" s="541"/>
      <c r="F60" s="542"/>
      <c r="G60" s="313"/>
      <c r="H60" s="314"/>
    </row>
    <row r="61" spans="2:9" s="13" customFormat="1">
      <c r="B61" s="319"/>
      <c r="C61" s="301" t="s">
        <v>159</v>
      </c>
      <c r="D61" s="317" t="s">
        <v>121</v>
      </c>
      <c r="E61" s="301" t="s">
        <v>160</v>
      </c>
      <c r="F61" s="301" t="s">
        <v>123</v>
      </c>
      <c r="G61" s="320"/>
      <c r="H61" s="299"/>
      <c r="I61" s="298"/>
    </row>
    <row r="62" spans="2:9" s="13" customFormat="1" ht="15" customHeight="1">
      <c r="B62" s="527"/>
      <c r="C62" s="310">
        <v>4.82</v>
      </c>
      <c r="D62" s="310">
        <v>3.25</v>
      </c>
      <c r="E62" s="310">
        <v>0</v>
      </c>
      <c r="F62" s="310">
        <f>C62*D62-E62</f>
        <v>15.665000000000001</v>
      </c>
      <c r="G62" s="321"/>
      <c r="H62" s="299"/>
      <c r="I62" s="298"/>
    </row>
    <row r="63" spans="2:9" s="13" customFormat="1" ht="15" customHeight="1">
      <c r="B63" s="527"/>
      <c r="C63" s="310">
        <v>1.42</v>
      </c>
      <c r="D63" s="310">
        <v>3.25</v>
      </c>
      <c r="E63" s="310">
        <v>0</v>
      </c>
      <c r="F63" s="310">
        <f t="shared" ref="F63:F80" si="0">C63*D63-E63</f>
        <v>4.6150000000000002</v>
      </c>
      <c r="G63" s="321"/>
      <c r="H63" s="299"/>
      <c r="I63" s="298"/>
    </row>
    <row r="64" spans="2:9" s="13" customFormat="1" ht="15" customHeight="1">
      <c r="B64" s="527"/>
      <c r="C64" s="310">
        <v>0.66</v>
      </c>
      <c r="D64" s="310">
        <v>3.25</v>
      </c>
      <c r="E64" s="310">
        <v>0</v>
      </c>
      <c r="F64" s="310">
        <f t="shared" si="0"/>
        <v>2.145</v>
      </c>
      <c r="G64" s="321"/>
      <c r="H64" s="299"/>
      <c r="I64" s="298"/>
    </row>
    <row r="65" spans="1:11" s="13" customFormat="1" ht="15" customHeight="1">
      <c r="B65" s="527"/>
      <c r="C65" s="310">
        <v>1.61</v>
      </c>
      <c r="D65" s="310">
        <v>3.25</v>
      </c>
      <c r="E65" s="310">
        <f>(2.1*1.2)</f>
        <v>2.52</v>
      </c>
      <c r="F65" s="310">
        <f t="shared" si="0"/>
        <v>2.7124999999999999</v>
      </c>
      <c r="G65" s="321"/>
      <c r="H65" s="299"/>
      <c r="I65" s="322"/>
      <c r="J65" s="33"/>
      <c r="K65" s="33"/>
    </row>
    <row r="66" spans="1:11" s="13" customFormat="1" ht="15" customHeight="1">
      <c r="B66" s="527"/>
      <c r="C66" s="310">
        <v>8.26</v>
      </c>
      <c r="D66" s="310">
        <v>3.25</v>
      </c>
      <c r="E66" s="310">
        <f>(0.9*2.1)+2</f>
        <v>3.89</v>
      </c>
      <c r="F66" s="310">
        <f t="shared" si="0"/>
        <v>22.954999999999998</v>
      </c>
      <c r="G66" s="321"/>
      <c r="H66" s="299"/>
      <c r="I66" s="322"/>
      <c r="J66" s="33"/>
      <c r="K66" s="33"/>
    </row>
    <row r="67" spans="1:11" s="13" customFormat="1">
      <c r="B67" s="527"/>
      <c r="C67" s="310">
        <v>2.83</v>
      </c>
      <c r="D67" s="310">
        <v>3.25</v>
      </c>
      <c r="E67" s="310">
        <f>(0.9*2.1)*2</f>
        <v>3.7800000000000002</v>
      </c>
      <c r="F67" s="310">
        <f t="shared" si="0"/>
        <v>5.4174999999999995</v>
      </c>
      <c r="G67" s="321"/>
      <c r="H67" s="299"/>
      <c r="I67" s="298"/>
    </row>
    <row r="68" spans="1:11" s="13" customFormat="1">
      <c r="B68" s="527"/>
      <c r="C68" s="310">
        <v>0.2</v>
      </c>
      <c r="D68" s="310">
        <v>2.1</v>
      </c>
      <c r="E68" s="310">
        <v>0</v>
      </c>
      <c r="F68" s="310">
        <f t="shared" si="0"/>
        <v>0.42000000000000004</v>
      </c>
      <c r="G68" s="321" t="s">
        <v>69</v>
      </c>
      <c r="H68" s="299"/>
      <c r="I68" s="298"/>
    </row>
    <row r="69" spans="1:11" s="13" customFormat="1">
      <c r="B69" s="527"/>
      <c r="C69" s="310">
        <v>2.5499999999999998</v>
      </c>
      <c r="D69" s="310">
        <v>3.25</v>
      </c>
      <c r="E69" s="310">
        <v>0</v>
      </c>
      <c r="F69" s="310">
        <f t="shared" si="0"/>
        <v>8.2874999999999996</v>
      </c>
      <c r="G69" s="321"/>
      <c r="H69" s="299"/>
      <c r="I69" s="298"/>
    </row>
    <row r="70" spans="1:11" s="13" customFormat="1">
      <c r="B70" s="527"/>
      <c r="C70" s="310">
        <v>1.53</v>
      </c>
      <c r="D70" s="310">
        <v>2.75</v>
      </c>
      <c r="E70" s="310">
        <v>0</v>
      </c>
      <c r="F70" s="310">
        <f t="shared" si="0"/>
        <v>4.2075000000000005</v>
      </c>
      <c r="G70" s="321"/>
      <c r="H70" s="23"/>
      <c r="I70" s="298"/>
    </row>
    <row r="71" spans="1:11" s="13" customFormat="1">
      <c r="B71" s="527"/>
      <c r="C71" s="310">
        <v>1.82</v>
      </c>
      <c r="D71" s="310">
        <v>2.75</v>
      </c>
      <c r="E71" s="310">
        <v>0</v>
      </c>
      <c r="F71" s="310">
        <f t="shared" si="0"/>
        <v>5.0049999999999999</v>
      </c>
      <c r="G71" s="321"/>
      <c r="H71" s="23"/>
      <c r="I71" s="298"/>
    </row>
    <row r="72" spans="1:11" s="13" customFormat="1" ht="15" customHeight="1">
      <c r="B72" s="527"/>
      <c r="C72" s="458">
        <v>1.51</v>
      </c>
      <c r="D72" s="310">
        <v>2.75</v>
      </c>
      <c r="E72" s="303">
        <v>0</v>
      </c>
      <c r="F72" s="310">
        <f t="shared" si="0"/>
        <v>4.1524999999999999</v>
      </c>
      <c r="G72" s="323"/>
      <c r="H72" s="23"/>
      <c r="I72" s="298"/>
    </row>
    <row r="73" spans="1:11" s="13" customFormat="1" ht="15" customHeight="1">
      <c r="B73" s="527"/>
      <c r="C73" s="458">
        <v>0.17</v>
      </c>
      <c r="D73" s="310">
        <v>2.75</v>
      </c>
      <c r="E73" s="303">
        <v>0</v>
      </c>
      <c r="F73" s="310">
        <f t="shared" si="0"/>
        <v>0.46750000000000003</v>
      </c>
      <c r="G73" s="323"/>
      <c r="H73" s="23"/>
      <c r="I73" s="298"/>
    </row>
    <row r="74" spans="1:11" s="13" customFormat="1" ht="15" customHeight="1">
      <c r="A74" s="24"/>
      <c r="B74" s="527"/>
      <c r="C74" s="458">
        <v>1.86</v>
      </c>
      <c r="D74" s="310">
        <v>2.75</v>
      </c>
      <c r="E74" s="303">
        <v>0</v>
      </c>
      <c r="F74" s="310">
        <f t="shared" si="0"/>
        <v>5.1150000000000002</v>
      </c>
      <c r="G74" s="323"/>
      <c r="H74" s="23"/>
      <c r="I74" s="298"/>
    </row>
    <row r="75" spans="1:11" s="13" customFormat="1" ht="15" customHeight="1">
      <c r="A75" s="24"/>
      <c r="B75" s="527"/>
      <c r="C75" s="458">
        <v>2.95</v>
      </c>
      <c r="D75" s="303">
        <v>2.89</v>
      </c>
      <c r="E75" s="303">
        <v>0</v>
      </c>
      <c r="F75" s="310">
        <f t="shared" si="0"/>
        <v>8.525500000000001</v>
      </c>
      <c r="G75" s="323"/>
      <c r="H75" s="23"/>
      <c r="I75" s="298"/>
    </row>
    <row r="76" spans="1:11" s="13" customFormat="1" ht="15" customHeight="1">
      <c r="A76" s="24"/>
      <c r="B76" s="527"/>
      <c r="C76" s="458">
        <v>3.89</v>
      </c>
      <c r="D76" s="310">
        <v>3.25</v>
      </c>
      <c r="E76" s="303">
        <v>0</v>
      </c>
      <c r="F76" s="310">
        <f t="shared" si="0"/>
        <v>12.6425</v>
      </c>
      <c r="G76" s="323"/>
      <c r="H76" s="23"/>
      <c r="I76" s="298"/>
    </row>
    <row r="77" spans="1:11" s="13" customFormat="1" ht="15" customHeight="1">
      <c r="A77" s="24"/>
      <c r="B77" s="527"/>
      <c r="C77" s="458">
        <v>0.54</v>
      </c>
      <c r="D77" s="310">
        <v>0.36</v>
      </c>
      <c r="E77" s="303">
        <v>0</v>
      </c>
      <c r="F77" s="310">
        <f t="shared" si="0"/>
        <v>0.19440000000000002</v>
      </c>
      <c r="G77" s="323"/>
      <c r="H77" s="23"/>
      <c r="I77" s="298"/>
    </row>
    <row r="78" spans="1:11" s="13" customFormat="1" ht="15" customHeight="1">
      <c r="A78" s="24"/>
      <c r="B78" s="527"/>
      <c r="C78" s="458">
        <v>0.35</v>
      </c>
      <c r="D78" s="310">
        <v>2.1</v>
      </c>
      <c r="E78" s="303">
        <v>0</v>
      </c>
      <c r="F78" s="310">
        <f t="shared" ref="F78" si="1">C78*D78-E78</f>
        <v>0.73499999999999999</v>
      </c>
      <c r="G78" s="323"/>
      <c r="H78" s="23"/>
      <c r="I78" s="298"/>
    </row>
    <row r="79" spans="1:11" s="13" customFormat="1">
      <c r="A79" s="24"/>
      <c r="B79" s="528"/>
      <c r="C79" s="303">
        <v>2.74</v>
      </c>
      <c r="D79" s="303">
        <v>3.25</v>
      </c>
      <c r="E79" s="303">
        <v>0</v>
      </c>
      <c r="F79" s="310">
        <f t="shared" si="0"/>
        <v>8.9050000000000011</v>
      </c>
      <c r="G79" s="323"/>
      <c r="H79" s="23"/>
      <c r="I79" s="298"/>
    </row>
    <row r="80" spans="1:11" s="13" customFormat="1">
      <c r="A80" s="24"/>
      <c r="B80" s="529"/>
      <c r="C80" s="303">
        <v>2.68</v>
      </c>
      <c r="D80" s="303">
        <v>2.85</v>
      </c>
      <c r="E80" s="303">
        <f>(0.9*2.1)</f>
        <v>1.8900000000000001</v>
      </c>
      <c r="F80" s="310">
        <f t="shared" si="0"/>
        <v>5.7480000000000011</v>
      </c>
      <c r="G80" s="323"/>
      <c r="H80" s="23"/>
      <c r="I80" s="298"/>
    </row>
    <row r="81" spans="1:11" s="13" customFormat="1">
      <c r="A81" s="24"/>
      <c r="B81" s="324"/>
      <c r="C81" s="325"/>
      <c r="D81" s="325"/>
      <c r="E81" s="325"/>
      <c r="F81" s="316">
        <f>SUM(F62:F80)</f>
        <v>117.91539999999999</v>
      </c>
      <c r="G81" s="326" t="s">
        <v>161</v>
      </c>
      <c r="H81" s="327"/>
      <c r="I81" s="298"/>
    </row>
    <row r="82" spans="1:11" ht="12" customHeight="1">
      <c r="B82" s="298"/>
      <c r="C82" s="298"/>
      <c r="D82" s="298"/>
      <c r="E82" s="298"/>
      <c r="F82" s="298"/>
      <c r="G82" s="298"/>
      <c r="H82" s="314"/>
    </row>
    <row r="83" spans="1:11" ht="36.75" customHeight="1">
      <c r="B83" s="523" t="s">
        <v>335</v>
      </c>
      <c r="C83" s="523"/>
      <c r="D83" s="523"/>
      <c r="E83" s="523"/>
      <c r="F83" s="523"/>
      <c r="G83" s="523"/>
      <c r="H83" s="523"/>
    </row>
    <row r="84" spans="1:11">
      <c r="B84" s="299"/>
      <c r="C84" s="298"/>
      <c r="D84" s="298"/>
      <c r="E84" s="298"/>
      <c r="F84" s="298"/>
      <c r="G84" s="298"/>
      <c r="H84" s="298"/>
    </row>
    <row r="85" spans="1:11">
      <c r="C85" s="540" t="s">
        <v>208</v>
      </c>
      <c r="D85" s="542"/>
      <c r="E85" s="298"/>
      <c r="F85" s="298"/>
      <c r="G85" s="298"/>
      <c r="H85" s="299"/>
    </row>
    <row r="86" spans="1:11">
      <c r="B86" s="23"/>
      <c r="C86" s="301" t="s">
        <v>127</v>
      </c>
      <c r="D86" s="301" t="s">
        <v>162</v>
      </c>
      <c r="E86" s="23"/>
      <c r="F86" s="23"/>
      <c r="G86" s="23"/>
      <c r="H86" s="23"/>
    </row>
    <row r="87" spans="1:11" ht="21.75" customHeight="1">
      <c r="B87" s="23"/>
      <c r="C87" s="509" t="s">
        <v>307</v>
      </c>
      <c r="D87" s="519">
        <v>3.33</v>
      </c>
      <c r="E87" s="23"/>
      <c r="F87" s="23"/>
      <c r="G87" s="23"/>
      <c r="H87" s="23"/>
    </row>
    <row r="88" spans="1:11" ht="32.25" customHeight="1">
      <c r="B88" s="23"/>
      <c r="C88" s="510"/>
      <c r="D88" s="520"/>
      <c r="E88" s="23"/>
      <c r="F88" s="23"/>
      <c r="G88" s="23"/>
      <c r="H88" s="23"/>
    </row>
    <row r="89" spans="1:11" ht="35.25" customHeight="1">
      <c r="B89" s="23"/>
      <c r="C89" s="302" t="s">
        <v>306</v>
      </c>
      <c r="D89" s="328">
        <v>8.74</v>
      </c>
      <c r="E89" s="23"/>
      <c r="F89" s="23"/>
      <c r="G89" s="23"/>
      <c r="H89" s="23"/>
    </row>
    <row r="90" spans="1:11">
      <c r="B90" s="23"/>
      <c r="C90" s="23"/>
      <c r="D90" s="304">
        <f>SUM(D87:D89)</f>
        <v>12.07</v>
      </c>
      <c r="E90" s="305" t="s">
        <v>90</v>
      </c>
      <c r="F90" s="23"/>
      <c r="G90" s="23"/>
      <c r="H90" s="23"/>
    </row>
    <row r="91" spans="1:11" s="13" customFormat="1" ht="15" customHeight="1">
      <c r="B91" s="329"/>
      <c r="C91" s="321"/>
      <c r="D91" s="321"/>
      <c r="E91" s="321"/>
      <c r="F91" s="321"/>
      <c r="G91" s="321"/>
      <c r="H91" s="299"/>
      <c r="I91" s="298"/>
    </row>
    <row r="92" spans="1:11" ht="18.75" customHeight="1">
      <c r="B92" s="515" t="s">
        <v>487</v>
      </c>
      <c r="C92" s="516"/>
      <c r="D92" s="516"/>
      <c r="E92" s="516"/>
      <c r="F92" s="516"/>
      <c r="G92" s="516"/>
      <c r="H92" s="516"/>
      <c r="I92" s="516"/>
      <c r="J92" s="35"/>
      <c r="K92" s="35"/>
    </row>
    <row r="93" spans="1:11" ht="18.75" customHeight="1">
      <c r="B93" s="332"/>
      <c r="C93" s="333"/>
      <c r="D93" s="333"/>
      <c r="E93" s="333"/>
      <c r="F93" s="333"/>
      <c r="G93" s="333"/>
      <c r="H93" s="333"/>
      <c r="I93" s="333"/>
      <c r="J93" s="35"/>
      <c r="K93" s="35"/>
    </row>
    <row r="94" spans="1:11">
      <c r="C94" s="540" t="s">
        <v>208</v>
      </c>
      <c r="D94" s="542"/>
      <c r="E94" s="298"/>
      <c r="F94" s="298"/>
      <c r="G94" s="298"/>
      <c r="H94" s="299"/>
    </row>
    <row r="95" spans="1:11">
      <c r="B95" s="23"/>
      <c r="C95" s="301" t="s">
        <v>127</v>
      </c>
      <c r="D95" s="301" t="s">
        <v>162</v>
      </c>
      <c r="E95" s="23"/>
      <c r="F95" s="23"/>
      <c r="G95" s="23"/>
      <c r="H95" s="23"/>
    </row>
    <row r="96" spans="1:11">
      <c r="B96" s="23"/>
      <c r="C96" s="509" t="s">
        <v>305</v>
      </c>
      <c r="D96" s="519">
        <v>2.84</v>
      </c>
      <c r="E96" s="23"/>
      <c r="F96" s="23"/>
      <c r="G96" s="23"/>
      <c r="H96" s="23"/>
    </row>
    <row r="97" spans="2:11">
      <c r="B97" s="23"/>
      <c r="C97" s="510"/>
      <c r="D97" s="520"/>
      <c r="E97" s="23"/>
      <c r="F97" s="23"/>
      <c r="G97" s="23"/>
      <c r="H97" s="23"/>
    </row>
    <row r="98" spans="2:11">
      <c r="B98" s="23"/>
      <c r="C98" s="23"/>
      <c r="D98" s="304">
        <f>SUM(D96:D97)</f>
        <v>2.84</v>
      </c>
      <c r="E98" s="305" t="s">
        <v>90</v>
      </c>
      <c r="F98" s="23"/>
      <c r="G98" s="23"/>
      <c r="H98" s="23"/>
    </row>
    <row r="99" spans="2:11" s="13" customFormat="1" ht="15" customHeight="1">
      <c r="B99" s="329"/>
      <c r="C99" s="321"/>
      <c r="D99" s="321"/>
      <c r="E99" s="321"/>
      <c r="F99" s="321"/>
      <c r="G99" s="321"/>
      <c r="H99" s="299"/>
      <c r="I99" s="298"/>
    </row>
    <row r="100" spans="2:11" s="13" customFormat="1" ht="15" customHeight="1">
      <c r="B100" s="329"/>
      <c r="C100" s="321"/>
      <c r="D100" s="330" t="s">
        <v>226</v>
      </c>
      <c r="E100" s="331">
        <f xml:space="preserve"> D90+D98</f>
        <v>14.91</v>
      </c>
      <c r="F100" s="305" t="s">
        <v>90</v>
      </c>
      <c r="G100" s="321"/>
      <c r="H100" s="299"/>
      <c r="I100" s="298"/>
    </row>
    <row r="101" spans="2:11" s="13" customFormat="1" ht="15" customHeight="1">
      <c r="B101" s="329"/>
      <c r="C101" s="321"/>
      <c r="D101" s="299"/>
      <c r="E101" s="299"/>
      <c r="F101" s="299"/>
      <c r="G101" s="321"/>
      <c r="H101" s="299"/>
      <c r="I101" s="298"/>
    </row>
    <row r="102" spans="2:11" s="26" customFormat="1" ht="18.75">
      <c r="B102" s="25" t="s">
        <v>283</v>
      </c>
      <c r="C102" s="27"/>
      <c r="D102" s="27"/>
      <c r="E102" s="27"/>
      <c r="F102" s="27"/>
      <c r="G102" s="27"/>
      <c r="H102" s="27"/>
    </row>
    <row r="103" spans="2:11">
      <c r="B103" s="297"/>
      <c r="C103" s="298"/>
      <c r="D103" s="298"/>
      <c r="E103" s="298"/>
      <c r="F103" s="298"/>
      <c r="G103" s="298"/>
      <c r="H103" s="298"/>
    </row>
    <row r="104" spans="2:11" ht="18.75" customHeight="1">
      <c r="B104" s="515" t="s">
        <v>316</v>
      </c>
      <c r="C104" s="516"/>
      <c r="D104" s="516"/>
      <c r="E104" s="516"/>
      <c r="F104" s="516"/>
      <c r="G104" s="516"/>
      <c r="H104" s="516"/>
      <c r="I104" s="516"/>
      <c r="J104" s="35"/>
      <c r="K104" s="35"/>
    </row>
    <row r="105" spans="2:11" ht="19.5" customHeight="1">
      <c r="B105" s="23"/>
      <c r="C105" s="334"/>
      <c r="D105" s="334"/>
      <c r="E105" s="334"/>
      <c r="F105" s="334"/>
      <c r="G105" s="334"/>
      <c r="H105" s="334"/>
      <c r="I105" s="334"/>
      <c r="J105" s="32"/>
      <c r="K105" s="32"/>
    </row>
    <row r="106" spans="2:11">
      <c r="C106" s="540" t="s">
        <v>224</v>
      </c>
      <c r="D106" s="542"/>
      <c r="E106" s="298"/>
      <c r="F106" s="298"/>
      <c r="G106" s="298"/>
      <c r="H106" s="299"/>
    </row>
    <row r="107" spans="2:11">
      <c r="B107" s="23"/>
      <c r="C107" s="301" t="s">
        <v>127</v>
      </c>
      <c r="D107" s="301" t="s">
        <v>162</v>
      </c>
      <c r="E107" s="23"/>
      <c r="F107" s="23"/>
      <c r="G107" s="23"/>
      <c r="H107" s="23"/>
    </row>
    <row r="108" spans="2:11" ht="39.75" customHeight="1">
      <c r="B108" s="23"/>
      <c r="C108" s="302" t="s">
        <v>229</v>
      </c>
      <c r="D108" s="335">
        <v>8.3000000000000007</v>
      </c>
      <c r="E108" s="23"/>
      <c r="F108" s="23"/>
      <c r="G108" s="23"/>
      <c r="H108" s="23"/>
    </row>
    <row r="109" spans="2:11">
      <c r="B109" s="23"/>
      <c r="C109" s="301" t="s">
        <v>149</v>
      </c>
      <c r="D109" s="301">
        <v>21.53</v>
      </c>
      <c r="E109" s="23"/>
      <c r="F109" s="23"/>
      <c r="G109" s="23"/>
      <c r="H109" s="23"/>
    </row>
    <row r="110" spans="2:11">
      <c r="B110" s="23"/>
      <c r="C110" s="23"/>
      <c r="D110" s="304">
        <f>SUM(D108:D109)</f>
        <v>29.830000000000002</v>
      </c>
      <c r="E110" s="305" t="s">
        <v>90</v>
      </c>
      <c r="F110" s="23"/>
      <c r="G110" s="23"/>
      <c r="H110" s="23"/>
    </row>
    <row r="111" spans="2:11">
      <c r="B111" s="23"/>
      <c r="C111" s="23"/>
      <c r="D111" s="23"/>
      <c r="E111" s="23"/>
      <c r="F111" s="23"/>
      <c r="G111" s="23"/>
      <c r="H111" s="23"/>
    </row>
    <row r="112" spans="2:11" s="26" customFormat="1" ht="18.75">
      <c r="B112" s="25" t="s">
        <v>317</v>
      </c>
      <c r="C112" s="27"/>
      <c r="D112" s="27"/>
      <c r="E112" s="27"/>
      <c r="F112" s="27"/>
      <c r="G112" s="27"/>
      <c r="H112" s="27"/>
    </row>
    <row r="113" spans="2:11">
      <c r="B113" s="297"/>
      <c r="C113" s="298"/>
      <c r="D113" s="298"/>
      <c r="E113" s="298"/>
      <c r="F113" s="298"/>
      <c r="G113" s="298"/>
      <c r="H113" s="298"/>
    </row>
    <row r="114" spans="2:11" ht="18.75" customHeight="1">
      <c r="B114" s="515" t="s">
        <v>318</v>
      </c>
      <c r="C114" s="516"/>
      <c r="D114" s="516"/>
      <c r="E114" s="516"/>
      <c r="F114" s="516"/>
      <c r="G114" s="516"/>
      <c r="H114" s="516"/>
      <c r="I114" s="516"/>
      <c r="J114" s="35"/>
      <c r="K114" s="35"/>
    </row>
    <row r="115" spans="2:11" ht="19.5" customHeight="1">
      <c r="B115" s="23"/>
      <c r="C115" s="334"/>
      <c r="D115" s="334"/>
      <c r="E115" s="334"/>
      <c r="F115" s="334"/>
      <c r="G115" s="334"/>
      <c r="H115" s="334"/>
      <c r="I115" s="334"/>
      <c r="J115" s="32"/>
      <c r="K115" s="32"/>
    </row>
    <row r="116" spans="2:11">
      <c r="C116" s="540" t="s">
        <v>208</v>
      </c>
      <c r="D116" s="542"/>
      <c r="E116" s="298"/>
      <c r="F116" s="298"/>
      <c r="G116" s="298"/>
      <c r="H116" s="299"/>
    </row>
    <row r="117" spans="2:11">
      <c r="B117" s="23"/>
      <c r="C117" s="301" t="s">
        <v>127</v>
      </c>
      <c r="D117" s="301" t="s">
        <v>304</v>
      </c>
      <c r="E117" s="23"/>
      <c r="F117" s="23"/>
      <c r="G117" s="23"/>
      <c r="H117" s="23"/>
    </row>
    <row r="118" spans="2:11">
      <c r="B118" s="23"/>
      <c r="C118" s="509" t="s">
        <v>231</v>
      </c>
      <c r="D118" s="519">
        <v>10.472</v>
      </c>
      <c r="E118" s="23"/>
      <c r="F118" s="23"/>
      <c r="G118" s="23"/>
      <c r="H118" s="23"/>
    </row>
    <row r="119" spans="2:11">
      <c r="B119" s="23"/>
      <c r="C119" s="510"/>
      <c r="D119" s="520"/>
      <c r="E119" s="23"/>
      <c r="F119" s="23"/>
      <c r="G119" s="23"/>
      <c r="H119" s="23"/>
    </row>
    <row r="120" spans="2:11">
      <c r="B120" s="23"/>
      <c r="C120" s="23"/>
      <c r="D120" s="304">
        <f>SUM(D118:D119)</f>
        <v>10.472</v>
      </c>
      <c r="E120" s="305" t="s">
        <v>329</v>
      </c>
      <c r="F120" s="23"/>
      <c r="G120" s="23"/>
      <c r="H120" s="23"/>
    </row>
    <row r="121" spans="2:11" s="13" customFormat="1" ht="15" customHeight="1">
      <c r="B121" s="329"/>
      <c r="C121" s="321"/>
      <c r="D121" s="321"/>
      <c r="E121" s="321"/>
      <c r="F121" s="321"/>
      <c r="G121" s="321"/>
      <c r="H121" s="299"/>
      <c r="I121" s="298"/>
    </row>
    <row r="122" spans="2:11" s="26" customFormat="1" ht="18.75">
      <c r="B122" s="25" t="s">
        <v>319</v>
      </c>
      <c r="C122" s="27"/>
      <c r="D122" s="27"/>
      <c r="E122" s="27"/>
      <c r="F122" s="27"/>
      <c r="G122" s="27"/>
      <c r="H122" s="27"/>
    </row>
    <row r="123" spans="2:11">
      <c r="B123" s="297"/>
      <c r="C123" s="298"/>
      <c r="D123" s="298"/>
      <c r="E123" s="298"/>
      <c r="F123" s="298"/>
      <c r="G123" s="298"/>
      <c r="H123" s="298"/>
    </row>
    <row r="124" spans="2:11">
      <c r="B124" s="299" t="s">
        <v>320</v>
      </c>
      <c r="C124" s="299"/>
      <c r="D124" s="298"/>
      <c r="E124" s="298"/>
      <c r="F124" s="298"/>
      <c r="G124" s="298"/>
      <c r="H124" s="298"/>
    </row>
    <row r="125" spans="2:11">
      <c r="B125" s="298"/>
      <c r="C125" s="298"/>
      <c r="D125" s="298"/>
      <c r="E125" s="298"/>
      <c r="F125" s="298"/>
      <c r="G125" s="298"/>
      <c r="H125" s="298"/>
    </row>
    <row r="126" spans="2:11">
      <c r="B126" s="540" t="s">
        <v>224</v>
      </c>
      <c r="C126" s="541"/>
      <c r="D126" s="541"/>
      <c r="E126" s="541"/>
      <c r="F126" s="541"/>
      <c r="G126" s="542"/>
      <c r="H126" s="299"/>
    </row>
    <row r="127" spans="2:11" s="13" customFormat="1">
      <c r="B127" s="301" t="s">
        <v>127</v>
      </c>
      <c r="C127" s="301" t="s">
        <v>159</v>
      </c>
      <c r="D127" s="317" t="s">
        <v>121</v>
      </c>
      <c r="E127" s="301" t="s">
        <v>160</v>
      </c>
      <c r="F127" s="301" t="s">
        <v>125</v>
      </c>
      <c r="G127" s="301" t="s">
        <v>123</v>
      </c>
      <c r="H127" s="299"/>
      <c r="I127" s="298"/>
    </row>
    <row r="128" spans="2:11" s="13" customFormat="1" ht="15" customHeight="1">
      <c r="B128" s="509" t="s">
        <v>130</v>
      </c>
      <c r="C128" s="310">
        <v>5.18</v>
      </c>
      <c r="D128" s="310">
        <v>3.25</v>
      </c>
      <c r="E128" s="310">
        <v>0</v>
      </c>
      <c r="F128" s="310">
        <v>1</v>
      </c>
      <c r="G128" s="310">
        <f t="shared" ref="G128:G151" si="2">((C128*D128)*F128)-E128</f>
        <v>16.835000000000001</v>
      </c>
      <c r="H128" s="299"/>
      <c r="I128" s="298"/>
    </row>
    <row r="129" spans="2:9" s="13" customFormat="1" ht="15" customHeight="1">
      <c r="B129" s="511"/>
      <c r="C129" s="310">
        <v>1.44</v>
      </c>
      <c r="D129" s="310">
        <v>3.25</v>
      </c>
      <c r="E129" s="310">
        <v>0</v>
      </c>
      <c r="F129" s="310">
        <v>2</v>
      </c>
      <c r="G129" s="310">
        <f t="shared" si="2"/>
        <v>9.36</v>
      </c>
      <c r="H129" s="299"/>
      <c r="I129" s="298"/>
    </row>
    <row r="130" spans="2:9" s="13" customFormat="1">
      <c r="B130" s="511"/>
      <c r="C130" s="310">
        <v>0.13</v>
      </c>
      <c r="D130" s="310">
        <v>2.85</v>
      </c>
      <c r="E130" s="310">
        <v>0</v>
      </c>
      <c r="F130" s="310">
        <v>1</v>
      </c>
      <c r="G130" s="310">
        <f t="shared" si="2"/>
        <v>0.37050000000000005</v>
      </c>
      <c r="H130" s="299"/>
      <c r="I130" s="298"/>
    </row>
    <row r="131" spans="2:9" s="13" customFormat="1" ht="15" customHeight="1">
      <c r="B131" s="511"/>
      <c r="C131" s="310">
        <v>1.1499999999999999</v>
      </c>
      <c r="D131" s="310">
        <v>3.25</v>
      </c>
      <c r="E131" s="310">
        <v>0</v>
      </c>
      <c r="F131" s="310">
        <v>1</v>
      </c>
      <c r="G131" s="310">
        <f t="shared" si="2"/>
        <v>3.7374999999999998</v>
      </c>
      <c r="H131" s="299"/>
      <c r="I131" s="298"/>
    </row>
    <row r="132" spans="2:9" s="13" customFormat="1" ht="15" customHeight="1">
      <c r="B132" s="511"/>
      <c r="C132" s="310">
        <v>0.66</v>
      </c>
      <c r="D132" s="310">
        <v>3.25</v>
      </c>
      <c r="E132" s="310">
        <v>0</v>
      </c>
      <c r="F132" s="310">
        <v>1</v>
      </c>
      <c r="G132" s="310">
        <f t="shared" si="2"/>
        <v>2.145</v>
      </c>
      <c r="H132" s="299"/>
      <c r="I132" s="298"/>
    </row>
    <row r="133" spans="2:9" s="13" customFormat="1" ht="15" customHeight="1">
      <c r="B133" s="511"/>
      <c r="C133" s="310">
        <v>1.61</v>
      </c>
      <c r="D133" s="310">
        <v>3.25</v>
      </c>
      <c r="E133" s="310">
        <f>(2.1*1.2)</f>
        <v>2.52</v>
      </c>
      <c r="F133" s="310">
        <v>1</v>
      </c>
      <c r="G133" s="310">
        <f t="shared" si="2"/>
        <v>2.7124999999999999</v>
      </c>
      <c r="H133" s="299"/>
      <c r="I133" s="298"/>
    </row>
    <row r="134" spans="2:9" s="13" customFormat="1">
      <c r="B134" s="511"/>
      <c r="C134" s="310">
        <v>8.26</v>
      </c>
      <c r="D134" s="310">
        <v>3.25</v>
      </c>
      <c r="E134" s="310">
        <f>(0.9*2.1)+2</f>
        <v>3.89</v>
      </c>
      <c r="F134" s="310">
        <v>1</v>
      </c>
      <c r="G134" s="310">
        <f t="shared" si="2"/>
        <v>22.954999999999998</v>
      </c>
      <c r="H134" s="299"/>
      <c r="I134" s="298"/>
    </row>
    <row r="135" spans="2:9" s="13" customFormat="1">
      <c r="B135" s="511"/>
      <c r="C135" s="310">
        <v>0.21</v>
      </c>
      <c r="D135" s="310">
        <v>2.85</v>
      </c>
      <c r="E135" s="310">
        <v>0</v>
      </c>
      <c r="F135" s="310">
        <v>2</v>
      </c>
      <c r="G135" s="310">
        <f t="shared" si="2"/>
        <v>1.1970000000000001</v>
      </c>
      <c r="H135" s="299"/>
      <c r="I135" s="298"/>
    </row>
    <row r="136" spans="2:9" s="13" customFormat="1">
      <c r="B136" s="511"/>
      <c r="C136" s="310">
        <v>0.34</v>
      </c>
      <c r="D136" s="310">
        <v>3.25</v>
      </c>
      <c r="E136" s="310">
        <v>0</v>
      </c>
      <c r="F136" s="310">
        <v>2</v>
      </c>
      <c r="G136" s="310">
        <f t="shared" si="2"/>
        <v>2.21</v>
      </c>
      <c r="H136" s="299"/>
      <c r="I136" s="298"/>
    </row>
    <row r="137" spans="2:9" s="13" customFormat="1">
      <c r="B137" s="511"/>
      <c r="C137" s="310">
        <v>0.2</v>
      </c>
      <c r="D137" s="310">
        <v>2.85</v>
      </c>
      <c r="E137" s="310">
        <v>0</v>
      </c>
      <c r="F137" s="310">
        <v>2</v>
      </c>
      <c r="G137" s="310">
        <f t="shared" si="2"/>
        <v>1.1400000000000001</v>
      </c>
      <c r="H137" s="299"/>
      <c r="I137" s="298"/>
    </row>
    <row r="138" spans="2:9" s="13" customFormat="1">
      <c r="B138" s="511"/>
      <c r="C138" s="310">
        <v>0.33</v>
      </c>
      <c r="D138" s="310">
        <v>3.25</v>
      </c>
      <c r="E138" s="310">
        <v>0</v>
      </c>
      <c r="F138" s="310">
        <v>2</v>
      </c>
      <c r="G138" s="310">
        <f t="shared" si="2"/>
        <v>2.145</v>
      </c>
      <c r="H138" s="299"/>
      <c r="I138" s="298"/>
    </row>
    <row r="139" spans="2:9" s="13" customFormat="1">
      <c r="B139" s="511"/>
      <c r="C139" s="310">
        <v>0.19</v>
      </c>
      <c r="D139" s="310">
        <v>2.85</v>
      </c>
      <c r="E139" s="310">
        <v>0</v>
      </c>
      <c r="F139" s="310">
        <v>1</v>
      </c>
      <c r="G139" s="310">
        <f t="shared" si="2"/>
        <v>0.54149999999999998</v>
      </c>
      <c r="H139" s="299"/>
      <c r="I139" s="298"/>
    </row>
    <row r="140" spans="2:9" s="13" customFormat="1">
      <c r="B140" s="511"/>
      <c r="C140" s="310">
        <v>0.1</v>
      </c>
      <c r="D140" s="310">
        <v>3.25</v>
      </c>
      <c r="E140" s="310">
        <v>0</v>
      </c>
      <c r="F140" s="310">
        <v>2</v>
      </c>
      <c r="G140" s="310">
        <f t="shared" si="2"/>
        <v>0.65</v>
      </c>
      <c r="H140" s="299"/>
      <c r="I140" s="298"/>
    </row>
    <row r="141" spans="2:9" s="13" customFormat="1">
      <c r="B141" s="511"/>
      <c r="C141" s="310">
        <v>0.17</v>
      </c>
      <c r="D141" s="310">
        <v>3.25</v>
      </c>
      <c r="E141" s="310">
        <v>0</v>
      </c>
      <c r="F141" s="310">
        <v>1</v>
      </c>
      <c r="G141" s="310">
        <f t="shared" si="2"/>
        <v>0.55249999999999999</v>
      </c>
      <c r="H141" s="299"/>
      <c r="I141" s="298"/>
    </row>
    <row r="142" spans="2:9" s="13" customFormat="1">
      <c r="B142" s="511"/>
      <c r="C142" s="310">
        <v>2.0699999999999998</v>
      </c>
      <c r="D142" s="310">
        <v>3.25</v>
      </c>
      <c r="E142" s="310">
        <v>0</v>
      </c>
      <c r="F142" s="310">
        <v>1</v>
      </c>
      <c r="G142" s="310">
        <f t="shared" si="2"/>
        <v>6.7274999999999991</v>
      </c>
      <c r="H142" s="299"/>
      <c r="I142" s="298"/>
    </row>
    <row r="143" spans="2:9" s="13" customFormat="1">
      <c r="B143" s="511"/>
      <c r="C143" s="310">
        <v>1.23</v>
      </c>
      <c r="D143" s="310">
        <v>3.25</v>
      </c>
      <c r="E143" s="310">
        <v>0</v>
      </c>
      <c r="F143" s="310">
        <v>1</v>
      </c>
      <c r="G143" s="310">
        <f t="shared" si="2"/>
        <v>3.9975000000000001</v>
      </c>
      <c r="H143" s="299"/>
      <c r="I143" s="298"/>
    </row>
    <row r="144" spans="2:9" s="13" customFormat="1">
      <c r="B144" s="511"/>
      <c r="C144" s="310">
        <v>0.06</v>
      </c>
      <c r="D144" s="310">
        <v>3.25</v>
      </c>
      <c r="E144" s="310">
        <v>0</v>
      </c>
      <c r="F144" s="310">
        <v>1</v>
      </c>
      <c r="G144" s="310">
        <f t="shared" si="2"/>
        <v>0.19500000000000001</v>
      </c>
      <c r="H144" s="299"/>
      <c r="I144" s="298"/>
    </row>
    <row r="145" spans="2:9" s="13" customFormat="1">
      <c r="B145" s="510"/>
      <c r="C145" s="310">
        <v>0.43</v>
      </c>
      <c r="D145" s="310">
        <v>3.25</v>
      </c>
      <c r="E145" s="310">
        <v>0</v>
      </c>
      <c r="F145" s="310">
        <v>1</v>
      </c>
      <c r="G145" s="310">
        <f t="shared" si="2"/>
        <v>1.3975</v>
      </c>
      <c r="H145" s="299"/>
      <c r="I145" s="298"/>
    </row>
    <row r="146" spans="2:9" s="13" customFormat="1" ht="15" customHeight="1">
      <c r="B146" s="509" t="s">
        <v>131</v>
      </c>
      <c r="C146" s="310">
        <v>4.82</v>
      </c>
      <c r="D146" s="310">
        <v>3.25</v>
      </c>
      <c r="E146" s="310">
        <v>0</v>
      </c>
      <c r="F146" s="310">
        <v>1</v>
      </c>
      <c r="G146" s="310">
        <f t="shared" si="2"/>
        <v>15.665000000000001</v>
      </c>
      <c r="H146" s="299"/>
      <c r="I146" s="298"/>
    </row>
    <row r="147" spans="2:9" s="13" customFormat="1" ht="15" customHeight="1">
      <c r="B147" s="511"/>
      <c r="C147" s="310">
        <v>0.37</v>
      </c>
      <c r="D147" s="310">
        <v>3.25</v>
      </c>
      <c r="E147" s="310">
        <v>0</v>
      </c>
      <c r="F147" s="310">
        <v>2</v>
      </c>
      <c r="G147" s="310">
        <f t="shared" si="2"/>
        <v>2.4049999999999998</v>
      </c>
      <c r="H147" s="299"/>
      <c r="I147" s="298"/>
    </row>
    <row r="148" spans="2:9" s="13" customFormat="1" ht="15" customHeight="1">
      <c r="B148" s="511"/>
      <c r="C148" s="310">
        <v>0.2</v>
      </c>
      <c r="D148" s="310">
        <v>2.85</v>
      </c>
      <c r="E148" s="310">
        <v>0</v>
      </c>
      <c r="F148" s="310">
        <v>2</v>
      </c>
      <c r="G148" s="310">
        <f t="shared" si="2"/>
        <v>1.1400000000000001</v>
      </c>
      <c r="H148" s="299"/>
      <c r="I148" s="298"/>
    </row>
    <row r="149" spans="2:9" s="13" customFormat="1" ht="15" customHeight="1">
      <c r="B149" s="511"/>
      <c r="C149" s="310">
        <v>0.22</v>
      </c>
      <c r="D149" s="310">
        <v>3.25</v>
      </c>
      <c r="E149" s="310">
        <v>0</v>
      </c>
      <c r="F149" s="310">
        <v>2</v>
      </c>
      <c r="G149" s="310">
        <f t="shared" si="2"/>
        <v>1.43</v>
      </c>
      <c r="H149" s="299"/>
      <c r="I149" s="298"/>
    </row>
    <row r="150" spans="2:9" s="13" customFormat="1">
      <c r="B150" s="511"/>
      <c r="C150" s="310">
        <v>0.2</v>
      </c>
      <c r="D150" s="310">
        <v>2.1</v>
      </c>
      <c r="E150" s="310">
        <v>0</v>
      </c>
      <c r="F150" s="310">
        <v>1</v>
      </c>
      <c r="G150" s="310">
        <f t="shared" si="2"/>
        <v>0.42000000000000004</v>
      </c>
      <c r="H150" s="299"/>
      <c r="I150" s="298"/>
    </row>
    <row r="151" spans="2:9" s="13" customFormat="1">
      <c r="B151" s="511"/>
      <c r="C151" s="310">
        <v>0.99</v>
      </c>
      <c r="D151" s="310">
        <v>3.25</v>
      </c>
      <c r="E151" s="310">
        <v>0</v>
      </c>
      <c r="F151" s="310">
        <v>1</v>
      </c>
      <c r="G151" s="310">
        <f t="shared" si="2"/>
        <v>3.2174999999999998</v>
      </c>
      <c r="H151" s="299"/>
      <c r="I151" s="298"/>
    </row>
    <row r="152" spans="2:9" s="13" customFormat="1">
      <c r="B152" s="510"/>
      <c r="C152" s="310">
        <v>2.83</v>
      </c>
      <c r="D152" s="310">
        <v>3.25</v>
      </c>
      <c r="E152" s="310">
        <f>(0.9*2.1)*2</f>
        <v>3.7800000000000002</v>
      </c>
      <c r="F152" s="310">
        <v>1</v>
      </c>
      <c r="G152" s="310">
        <f t="shared" ref="G152:G186" si="3">((C152*D152*F152)-E152)</f>
        <v>5.4174999999999995</v>
      </c>
      <c r="H152" s="299"/>
      <c r="I152" s="298"/>
    </row>
    <row r="153" spans="2:9" s="13" customFormat="1">
      <c r="B153" s="509" t="s">
        <v>134</v>
      </c>
      <c r="C153" s="310">
        <v>4.04</v>
      </c>
      <c r="D153" s="310">
        <v>3.25</v>
      </c>
      <c r="E153" s="310">
        <f>(0.5*2)+(0.9*2.1)</f>
        <v>2.89</v>
      </c>
      <c r="F153" s="310">
        <v>1</v>
      </c>
      <c r="G153" s="310">
        <f t="shared" si="3"/>
        <v>10.24</v>
      </c>
      <c r="H153" s="23"/>
      <c r="I153" s="298"/>
    </row>
    <row r="154" spans="2:9" s="13" customFormat="1">
      <c r="B154" s="511"/>
      <c r="C154" s="310">
        <v>3.58</v>
      </c>
      <c r="D154" s="310">
        <v>3.25</v>
      </c>
      <c r="E154" s="310">
        <v>0</v>
      </c>
      <c r="F154" s="310">
        <v>1</v>
      </c>
      <c r="G154" s="310">
        <f t="shared" si="3"/>
        <v>11.635</v>
      </c>
      <c r="H154" s="23"/>
      <c r="I154" s="298"/>
    </row>
    <row r="155" spans="2:9" s="13" customFormat="1">
      <c r="B155" s="511"/>
      <c r="C155" s="310">
        <v>1.51</v>
      </c>
      <c r="D155" s="310">
        <v>3.25</v>
      </c>
      <c r="E155" s="310">
        <v>0</v>
      </c>
      <c r="F155" s="310">
        <v>1</v>
      </c>
      <c r="G155" s="310">
        <f t="shared" si="3"/>
        <v>4.9074999999999998</v>
      </c>
      <c r="H155" s="23"/>
      <c r="I155" s="298"/>
    </row>
    <row r="156" spans="2:9" s="13" customFormat="1">
      <c r="B156" s="511"/>
      <c r="C156" s="310">
        <v>1.86</v>
      </c>
      <c r="D156" s="310">
        <v>3.25</v>
      </c>
      <c r="E156" s="310">
        <v>0</v>
      </c>
      <c r="F156" s="310">
        <v>1</v>
      </c>
      <c r="G156" s="310">
        <f t="shared" si="3"/>
        <v>6.0449999999999999</v>
      </c>
      <c r="H156" s="23"/>
      <c r="I156" s="298"/>
    </row>
    <row r="157" spans="2:9" s="13" customFormat="1">
      <c r="B157" s="511"/>
      <c r="C157" s="310">
        <v>0.19</v>
      </c>
      <c r="D157" s="310">
        <v>3.25</v>
      </c>
      <c r="E157" s="310">
        <v>0</v>
      </c>
      <c r="F157" s="310">
        <v>2</v>
      </c>
      <c r="G157" s="310">
        <f t="shared" si="3"/>
        <v>1.2350000000000001</v>
      </c>
      <c r="H157" s="23"/>
      <c r="I157" s="298"/>
    </row>
    <row r="158" spans="2:9" s="13" customFormat="1">
      <c r="B158" s="510"/>
      <c r="C158" s="310">
        <v>0.25</v>
      </c>
      <c r="D158" s="310">
        <v>3.25</v>
      </c>
      <c r="E158" s="310">
        <v>0</v>
      </c>
      <c r="F158" s="310">
        <v>1</v>
      </c>
      <c r="G158" s="310">
        <f t="shared" si="3"/>
        <v>0.8125</v>
      </c>
      <c r="H158" s="23"/>
      <c r="I158" s="298"/>
    </row>
    <row r="159" spans="2:9" s="13" customFormat="1">
      <c r="B159" s="509" t="s">
        <v>133</v>
      </c>
      <c r="C159" s="310">
        <v>4.04</v>
      </c>
      <c r="D159" s="310">
        <v>3.25</v>
      </c>
      <c r="E159" s="310">
        <f>(0.5*2)</f>
        <v>1</v>
      </c>
      <c r="F159" s="310">
        <v>1</v>
      </c>
      <c r="G159" s="310">
        <f t="shared" si="3"/>
        <v>12.13</v>
      </c>
      <c r="H159" s="23"/>
      <c r="I159" s="298"/>
    </row>
    <row r="160" spans="2:9" s="13" customFormat="1" ht="15" customHeight="1">
      <c r="B160" s="511"/>
      <c r="C160" s="303">
        <v>1.86</v>
      </c>
      <c r="D160" s="310">
        <v>3.25</v>
      </c>
      <c r="E160" s="303">
        <v>0</v>
      </c>
      <c r="F160" s="310">
        <v>1</v>
      </c>
      <c r="G160" s="303">
        <f t="shared" si="3"/>
        <v>6.0449999999999999</v>
      </c>
      <c r="H160" s="23"/>
      <c r="I160" s="298"/>
    </row>
    <row r="161" spans="2:9" s="13" customFormat="1" ht="15" customHeight="1">
      <c r="B161" s="511"/>
      <c r="C161" s="303">
        <v>1.57</v>
      </c>
      <c r="D161" s="310">
        <v>3.25</v>
      </c>
      <c r="E161" s="303">
        <v>0</v>
      </c>
      <c r="F161" s="310">
        <v>1</v>
      </c>
      <c r="G161" s="303">
        <f t="shared" si="3"/>
        <v>5.1025</v>
      </c>
      <c r="H161" s="23"/>
      <c r="I161" s="298"/>
    </row>
    <row r="162" spans="2:9" s="13" customFormat="1" ht="15" customHeight="1">
      <c r="B162" s="511"/>
      <c r="C162" s="303">
        <v>0.19</v>
      </c>
      <c r="D162" s="310">
        <v>2.85</v>
      </c>
      <c r="E162" s="303">
        <v>0</v>
      </c>
      <c r="F162" s="310">
        <v>1</v>
      </c>
      <c r="G162" s="303">
        <f t="shared" si="3"/>
        <v>0.54149999999999998</v>
      </c>
      <c r="H162" s="23"/>
      <c r="I162" s="298"/>
    </row>
    <row r="163" spans="2:9" s="13" customFormat="1" ht="15" customHeight="1">
      <c r="B163" s="510"/>
      <c r="C163" s="303">
        <v>0.2</v>
      </c>
      <c r="D163" s="303">
        <v>3.25</v>
      </c>
      <c r="E163" s="303">
        <v>0</v>
      </c>
      <c r="F163" s="310">
        <v>2</v>
      </c>
      <c r="G163" s="303">
        <f t="shared" si="3"/>
        <v>1.3</v>
      </c>
      <c r="H163" s="23"/>
      <c r="I163" s="298"/>
    </row>
    <row r="164" spans="2:9" s="13" customFormat="1" ht="15" customHeight="1">
      <c r="B164" s="509" t="s">
        <v>149</v>
      </c>
      <c r="C164" s="303">
        <v>4.3099999999999996</v>
      </c>
      <c r="D164" s="303">
        <v>2.89</v>
      </c>
      <c r="E164" s="303">
        <v>0</v>
      </c>
      <c r="F164" s="310">
        <v>1</v>
      </c>
      <c r="G164" s="303">
        <f t="shared" si="3"/>
        <v>12.4559</v>
      </c>
      <c r="H164" s="23"/>
      <c r="I164" s="298"/>
    </row>
    <row r="165" spans="2:9" s="13" customFormat="1" ht="15" customHeight="1">
      <c r="B165" s="511"/>
      <c r="C165" s="303">
        <v>0.13</v>
      </c>
      <c r="D165" s="303">
        <v>2.89</v>
      </c>
      <c r="E165" s="303">
        <v>0</v>
      </c>
      <c r="F165" s="310">
        <v>2</v>
      </c>
      <c r="G165" s="303">
        <f t="shared" si="3"/>
        <v>0.75140000000000007</v>
      </c>
      <c r="H165" s="23"/>
      <c r="I165" s="298"/>
    </row>
    <row r="166" spans="2:9" s="13" customFormat="1" ht="15" customHeight="1">
      <c r="B166" s="511"/>
      <c r="C166" s="303">
        <v>0.35</v>
      </c>
      <c r="D166" s="303">
        <v>2.1</v>
      </c>
      <c r="E166" s="303">
        <v>0</v>
      </c>
      <c r="F166" s="310">
        <v>1</v>
      </c>
      <c r="G166" s="303">
        <f t="shared" ref="G166:G167" si="4">((C166*D166*F166)-E166)</f>
        <v>0.73499999999999999</v>
      </c>
      <c r="H166" s="23"/>
      <c r="I166" s="298"/>
    </row>
    <row r="167" spans="2:9" s="13" customFormat="1" ht="15" customHeight="1">
      <c r="B167" s="511"/>
      <c r="C167" s="303">
        <v>0.54</v>
      </c>
      <c r="D167" s="303">
        <v>0.36</v>
      </c>
      <c r="E167" s="303">
        <v>0</v>
      </c>
      <c r="F167" s="310">
        <v>1</v>
      </c>
      <c r="G167" s="303">
        <f t="shared" si="4"/>
        <v>0.19440000000000002</v>
      </c>
      <c r="H167" s="23"/>
      <c r="I167" s="298"/>
    </row>
    <row r="168" spans="2:9" s="13" customFormat="1" ht="15" customHeight="1">
      <c r="B168" s="511"/>
      <c r="C168" s="303">
        <v>2.95</v>
      </c>
      <c r="D168" s="303">
        <v>2.89</v>
      </c>
      <c r="E168" s="303">
        <v>0</v>
      </c>
      <c r="F168" s="310">
        <v>2</v>
      </c>
      <c r="G168" s="303">
        <f t="shared" si="3"/>
        <v>17.051000000000002</v>
      </c>
      <c r="H168" s="23"/>
      <c r="I168" s="298"/>
    </row>
    <row r="169" spans="2:9" s="13" customFormat="1" ht="15" customHeight="1">
      <c r="B169" s="509" t="s">
        <v>132</v>
      </c>
      <c r="C169" s="303">
        <v>0.35</v>
      </c>
      <c r="D169" s="303">
        <v>2.1</v>
      </c>
      <c r="E169" s="303">
        <v>0</v>
      </c>
      <c r="F169" s="310">
        <v>1</v>
      </c>
      <c r="G169" s="303">
        <f t="shared" si="3"/>
        <v>0.73499999999999999</v>
      </c>
      <c r="H169" s="23"/>
      <c r="I169" s="298"/>
    </row>
    <row r="170" spans="2:9" s="13" customFormat="1" ht="15" customHeight="1">
      <c r="B170" s="511"/>
      <c r="C170" s="303">
        <v>0.54</v>
      </c>
      <c r="D170" s="303">
        <v>0.36</v>
      </c>
      <c r="E170" s="303">
        <v>0</v>
      </c>
      <c r="F170" s="310">
        <v>1</v>
      </c>
      <c r="G170" s="303">
        <f t="shared" si="3"/>
        <v>0.19440000000000002</v>
      </c>
      <c r="H170" s="23"/>
      <c r="I170" s="298"/>
    </row>
    <row r="171" spans="2:9" s="13" customFormat="1" ht="15" customHeight="1">
      <c r="B171" s="509" t="s">
        <v>138</v>
      </c>
      <c r="C171" s="303">
        <v>2.68</v>
      </c>
      <c r="D171" s="310">
        <v>3.25</v>
      </c>
      <c r="E171" s="303">
        <f>(0.9*2.1)</f>
        <v>1.8900000000000001</v>
      </c>
      <c r="F171" s="310">
        <v>1</v>
      </c>
      <c r="G171" s="303">
        <f t="shared" si="3"/>
        <v>6.82</v>
      </c>
      <c r="H171" s="23"/>
      <c r="I171" s="298"/>
    </row>
    <row r="172" spans="2:9" s="13" customFormat="1" ht="15" customHeight="1">
      <c r="B172" s="511"/>
      <c r="C172" s="303">
        <v>1.26</v>
      </c>
      <c r="D172" s="310">
        <v>3.25</v>
      </c>
      <c r="E172" s="303">
        <v>0</v>
      </c>
      <c r="F172" s="310">
        <v>1</v>
      </c>
      <c r="G172" s="303">
        <f t="shared" si="3"/>
        <v>4.0949999999999998</v>
      </c>
      <c r="H172" s="23"/>
      <c r="I172" s="298"/>
    </row>
    <row r="173" spans="2:9" s="13" customFormat="1" ht="15" customHeight="1">
      <c r="B173" s="511"/>
      <c r="C173" s="303">
        <v>0.68</v>
      </c>
      <c r="D173" s="310">
        <v>3.25</v>
      </c>
      <c r="E173" s="303">
        <v>0</v>
      </c>
      <c r="F173" s="310">
        <v>1</v>
      </c>
      <c r="G173" s="303">
        <f t="shared" si="3"/>
        <v>2.21</v>
      </c>
      <c r="H173" s="23"/>
      <c r="I173" s="298"/>
    </row>
    <row r="174" spans="2:9" s="13" customFormat="1" ht="15" customHeight="1">
      <c r="B174" s="511"/>
      <c r="C174" s="303">
        <v>1.52</v>
      </c>
      <c r="D174" s="310">
        <v>3.25</v>
      </c>
      <c r="E174" s="303">
        <f>(1.2*2.1)</f>
        <v>2.52</v>
      </c>
      <c r="F174" s="310">
        <v>1</v>
      </c>
      <c r="G174" s="303">
        <f t="shared" si="3"/>
        <v>2.4200000000000004</v>
      </c>
      <c r="H174" s="23"/>
      <c r="I174" s="298"/>
    </row>
    <row r="175" spans="2:9" s="13" customFormat="1" ht="15" customHeight="1">
      <c r="B175" s="511"/>
      <c r="C175" s="303">
        <v>0.7</v>
      </c>
      <c r="D175" s="310">
        <v>3.25</v>
      </c>
      <c r="E175" s="303">
        <v>0</v>
      </c>
      <c r="F175" s="310">
        <v>1</v>
      </c>
      <c r="G175" s="303">
        <f t="shared" si="3"/>
        <v>2.2749999999999999</v>
      </c>
      <c r="H175" s="23"/>
      <c r="I175" s="298"/>
    </row>
    <row r="176" spans="2:9" s="13" customFormat="1" ht="15" customHeight="1">
      <c r="B176" s="511"/>
      <c r="C176" s="303">
        <v>1.52</v>
      </c>
      <c r="D176" s="310">
        <v>0.4</v>
      </c>
      <c r="E176" s="303">
        <v>0</v>
      </c>
      <c r="F176" s="310">
        <v>1</v>
      </c>
      <c r="G176" s="303">
        <f t="shared" si="3"/>
        <v>0.6080000000000001</v>
      </c>
      <c r="H176" s="519" t="s">
        <v>235</v>
      </c>
      <c r="I176" s="298"/>
    </row>
    <row r="177" spans="2:9" s="13" customFormat="1" ht="15" customHeight="1">
      <c r="B177" s="511"/>
      <c r="C177" s="303">
        <v>1.52</v>
      </c>
      <c r="D177" s="310">
        <v>0.16</v>
      </c>
      <c r="E177" s="303">
        <v>0</v>
      </c>
      <c r="F177" s="310">
        <v>1</v>
      </c>
      <c r="G177" s="303">
        <f t="shared" si="3"/>
        <v>0.2432</v>
      </c>
      <c r="H177" s="543"/>
      <c r="I177" s="298"/>
    </row>
    <row r="178" spans="2:9" s="13" customFormat="1" ht="15" customHeight="1">
      <c r="B178" s="511"/>
      <c r="C178" s="303">
        <v>8.8699999999999992</v>
      </c>
      <c r="D178" s="310">
        <v>0.15</v>
      </c>
      <c r="E178" s="303">
        <v>0</v>
      </c>
      <c r="F178" s="310">
        <v>1</v>
      </c>
      <c r="G178" s="303">
        <f t="shared" si="3"/>
        <v>1.3304999999999998</v>
      </c>
      <c r="H178" s="543"/>
      <c r="I178" s="298"/>
    </row>
    <row r="179" spans="2:9" s="13" customFormat="1" ht="15" customHeight="1">
      <c r="B179" s="511"/>
      <c r="C179" s="303">
        <v>8.8699999999999992</v>
      </c>
      <c r="D179" s="310">
        <v>0.4</v>
      </c>
      <c r="E179" s="303">
        <v>0</v>
      </c>
      <c r="F179" s="310">
        <v>1</v>
      </c>
      <c r="G179" s="303">
        <f t="shared" si="3"/>
        <v>3.548</v>
      </c>
      <c r="H179" s="520"/>
      <c r="I179" s="298"/>
    </row>
    <row r="180" spans="2:9" s="13" customFormat="1">
      <c r="B180" s="512" t="s">
        <v>202</v>
      </c>
      <c r="C180" s="303">
        <v>2.74</v>
      </c>
      <c r="D180" s="310">
        <v>3.25</v>
      </c>
      <c r="E180" s="303">
        <v>0</v>
      </c>
      <c r="F180" s="310">
        <v>1</v>
      </c>
      <c r="G180" s="303">
        <f t="shared" si="3"/>
        <v>8.9050000000000011</v>
      </c>
      <c r="H180" s="23"/>
      <c r="I180" s="298"/>
    </row>
    <row r="181" spans="2:9" s="13" customFormat="1">
      <c r="B181" s="512"/>
      <c r="C181" s="303">
        <v>2.57</v>
      </c>
      <c r="D181" s="310">
        <v>3.25</v>
      </c>
      <c r="E181" s="303">
        <f>(0.9*2.1)</f>
        <v>1.8900000000000001</v>
      </c>
      <c r="F181" s="310">
        <v>2</v>
      </c>
      <c r="G181" s="303">
        <f t="shared" si="3"/>
        <v>14.814999999999998</v>
      </c>
      <c r="H181" s="23"/>
      <c r="I181" s="298"/>
    </row>
    <row r="182" spans="2:9" s="13" customFormat="1" ht="15" customHeight="1">
      <c r="B182" s="509" t="s">
        <v>205</v>
      </c>
      <c r="C182" s="303">
        <v>1.39</v>
      </c>
      <c r="D182" s="310">
        <v>3.25</v>
      </c>
      <c r="E182" s="303">
        <f>(0.9*2.1)</f>
        <v>1.8900000000000001</v>
      </c>
      <c r="F182" s="310">
        <v>1</v>
      </c>
      <c r="G182" s="303">
        <f t="shared" si="3"/>
        <v>2.6274999999999999</v>
      </c>
      <c r="H182" s="23"/>
      <c r="I182" s="298"/>
    </row>
    <row r="183" spans="2:9" s="13" customFormat="1" ht="15" customHeight="1">
      <c r="B183" s="510"/>
      <c r="C183" s="303">
        <v>2.59</v>
      </c>
      <c r="D183" s="310">
        <v>3.25</v>
      </c>
      <c r="E183" s="303">
        <v>0</v>
      </c>
      <c r="F183" s="310">
        <v>2</v>
      </c>
      <c r="G183" s="303">
        <f t="shared" si="3"/>
        <v>16.835000000000001</v>
      </c>
      <c r="H183" s="23"/>
      <c r="I183" s="298"/>
    </row>
    <row r="184" spans="2:9" s="13" customFormat="1" ht="15" customHeight="1">
      <c r="B184" s="509" t="s">
        <v>204</v>
      </c>
      <c r="C184" s="303">
        <v>1.39</v>
      </c>
      <c r="D184" s="310">
        <v>3.25</v>
      </c>
      <c r="E184" s="303">
        <f>(0.9*2.1)</f>
        <v>1.8900000000000001</v>
      </c>
      <c r="F184" s="310">
        <v>1</v>
      </c>
      <c r="G184" s="303">
        <f t="shared" si="3"/>
        <v>2.6274999999999999</v>
      </c>
      <c r="H184" s="23"/>
      <c r="I184" s="298"/>
    </row>
    <row r="185" spans="2:9" s="13" customFormat="1" ht="15" customHeight="1">
      <c r="B185" s="510"/>
      <c r="C185" s="303">
        <v>2.59</v>
      </c>
      <c r="D185" s="310">
        <v>3.25</v>
      </c>
      <c r="E185" s="303">
        <v>0</v>
      </c>
      <c r="F185" s="310">
        <v>1</v>
      </c>
      <c r="G185" s="303">
        <f t="shared" si="3"/>
        <v>8.4175000000000004</v>
      </c>
      <c r="H185" s="23"/>
      <c r="I185" s="298"/>
    </row>
    <row r="186" spans="2:9" s="13" customFormat="1">
      <c r="B186" s="302" t="s">
        <v>164</v>
      </c>
      <c r="C186" s="303">
        <v>0.2</v>
      </c>
      <c r="D186" s="310">
        <v>2.1</v>
      </c>
      <c r="E186" s="303">
        <v>0</v>
      </c>
      <c r="F186" s="310">
        <v>1</v>
      </c>
      <c r="G186" s="303">
        <f t="shared" si="3"/>
        <v>0.42000000000000004</v>
      </c>
      <c r="H186" s="23"/>
      <c r="I186" s="298"/>
    </row>
    <row r="187" spans="2:9" s="13" customFormat="1">
      <c r="B187" s="336"/>
      <c r="C187" s="325"/>
      <c r="D187" s="325"/>
      <c r="E187" s="325"/>
      <c r="F187" s="325"/>
      <c r="G187" s="316">
        <f>SUM(G128:G185)</f>
        <v>278.45230000000004</v>
      </c>
      <c r="H187" s="305" t="s">
        <v>161</v>
      </c>
      <c r="I187" s="298"/>
    </row>
    <row r="188" spans="2:9">
      <c r="B188" s="298"/>
      <c r="C188" s="298"/>
      <c r="D188" s="298"/>
      <c r="E188" s="298"/>
      <c r="F188" s="298"/>
      <c r="G188" s="298"/>
      <c r="H188" s="298"/>
    </row>
    <row r="189" spans="2:9">
      <c r="C189" s="337" t="s">
        <v>208</v>
      </c>
      <c r="D189" s="338"/>
      <c r="E189" s="298"/>
      <c r="F189" s="298"/>
      <c r="G189" s="298"/>
      <c r="H189" s="299"/>
    </row>
    <row r="190" spans="2:9">
      <c r="B190" s="23"/>
      <c r="C190" s="301" t="s">
        <v>127</v>
      </c>
      <c r="D190" s="301" t="s">
        <v>162</v>
      </c>
      <c r="E190" s="23"/>
      <c r="F190" s="23"/>
      <c r="G190" s="23"/>
      <c r="H190" s="23"/>
    </row>
    <row r="191" spans="2:9">
      <c r="B191" s="23"/>
      <c r="C191" s="509" t="s">
        <v>234</v>
      </c>
      <c r="D191" s="310">
        <v>0.52</v>
      </c>
      <c r="E191" s="23"/>
      <c r="F191" s="23"/>
      <c r="G191" s="23"/>
      <c r="H191" s="23"/>
    </row>
    <row r="192" spans="2:9">
      <c r="B192" s="23"/>
      <c r="C192" s="510"/>
      <c r="D192" s="310">
        <v>1.18</v>
      </c>
      <c r="E192" s="23"/>
      <c r="F192" s="23"/>
      <c r="G192" s="23"/>
      <c r="H192" s="23"/>
    </row>
    <row r="193" spans="2:9">
      <c r="B193" s="23"/>
      <c r="C193" s="23"/>
      <c r="D193" s="304">
        <f>SUM(D191:D192)</f>
        <v>1.7</v>
      </c>
      <c r="E193" s="305" t="s">
        <v>90</v>
      </c>
      <c r="F193" s="23"/>
      <c r="G193" s="23"/>
      <c r="H193" s="23"/>
    </row>
    <row r="194" spans="2:9" s="13" customFormat="1" ht="15" customHeight="1">
      <c r="B194" s="329"/>
      <c r="C194" s="321"/>
      <c r="D194" s="321"/>
      <c r="E194" s="321"/>
      <c r="F194" s="321"/>
      <c r="G194" s="321"/>
      <c r="H194" s="299"/>
      <c r="I194" s="298"/>
    </row>
    <row r="195" spans="2:9" s="13" customFormat="1" ht="15" customHeight="1">
      <c r="B195" s="329"/>
      <c r="C195" s="321"/>
      <c r="D195" s="330" t="s">
        <v>226</v>
      </c>
      <c r="E195" s="331">
        <f xml:space="preserve"> G187+D193</f>
        <v>280.15230000000003</v>
      </c>
      <c r="F195" s="305" t="s">
        <v>90</v>
      </c>
      <c r="G195" s="321"/>
      <c r="H195" s="299"/>
      <c r="I195" s="298"/>
    </row>
    <row r="196" spans="2:9" s="13" customFormat="1" ht="15" customHeight="1">
      <c r="B196" s="329"/>
      <c r="C196" s="321"/>
      <c r="D196" s="299"/>
      <c r="E196" s="299"/>
      <c r="F196" s="299"/>
      <c r="G196" s="321"/>
      <c r="H196" s="299"/>
      <c r="I196" s="298"/>
    </row>
    <row r="197" spans="2:9" s="300" customFormat="1" ht="21.75" customHeight="1">
      <c r="B197" s="523" t="s">
        <v>321</v>
      </c>
      <c r="C197" s="523"/>
      <c r="D197" s="523"/>
      <c r="E197" s="523"/>
      <c r="F197" s="523"/>
      <c r="G197" s="523"/>
      <c r="H197" s="523"/>
    </row>
    <row r="198" spans="2:9">
      <c r="B198" s="299"/>
      <c r="C198" s="299"/>
      <c r="D198" s="299"/>
      <c r="E198" s="299"/>
      <c r="F198" s="299"/>
      <c r="G198" s="299"/>
      <c r="H198" s="299"/>
    </row>
    <row r="199" spans="2:9">
      <c r="B199" s="540" t="s">
        <v>224</v>
      </c>
      <c r="C199" s="541"/>
      <c r="D199" s="541"/>
      <c r="E199" s="541"/>
      <c r="F199" s="541"/>
      <c r="G199" s="542"/>
      <c r="H199" s="299"/>
    </row>
    <row r="200" spans="2:9" s="13" customFormat="1">
      <c r="B200" s="301" t="s">
        <v>127</v>
      </c>
      <c r="C200" s="301" t="s">
        <v>159</v>
      </c>
      <c r="D200" s="317" t="s">
        <v>121</v>
      </c>
      <c r="E200" s="301" t="s">
        <v>160</v>
      </c>
      <c r="F200" s="301" t="s">
        <v>125</v>
      </c>
      <c r="G200" s="301" t="s">
        <v>123</v>
      </c>
      <c r="H200" s="299"/>
      <c r="I200" s="298"/>
    </row>
    <row r="201" spans="2:9" s="13" customFormat="1" ht="18" customHeight="1">
      <c r="B201" s="509" t="s">
        <v>130</v>
      </c>
      <c r="C201" s="310">
        <v>5.18</v>
      </c>
      <c r="D201" s="310">
        <v>3.25</v>
      </c>
      <c r="E201" s="310">
        <v>0</v>
      </c>
      <c r="F201" s="310">
        <v>1</v>
      </c>
      <c r="G201" s="310">
        <f t="shared" ref="G201:G225" si="5">((C201*D201)*F201)-E201</f>
        <v>16.835000000000001</v>
      </c>
      <c r="H201" s="299"/>
      <c r="I201" s="298"/>
    </row>
    <row r="202" spans="2:9" s="13" customFormat="1" ht="15.75" customHeight="1">
      <c r="B202" s="511"/>
      <c r="C202" s="310">
        <v>1.44</v>
      </c>
      <c r="D202" s="310">
        <v>3.25</v>
      </c>
      <c r="E202" s="310">
        <v>0</v>
      </c>
      <c r="F202" s="310">
        <v>2</v>
      </c>
      <c r="G202" s="310">
        <f t="shared" si="5"/>
        <v>9.36</v>
      </c>
      <c r="H202" s="299"/>
      <c r="I202" s="298"/>
    </row>
    <row r="203" spans="2:9" s="13" customFormat="1">
      <c r="B203" s="511"/>
      <c r="C203" s="310">
        <v>0.13</v>
      </c>
      <c r="D203" s="310">
        <v>2.85</v>
      </c>
      <c r="E203" s="310">
        <v>0</v>
      </c>
      <c r="F203" s="310">
        <v>1</v>
      </c>
      <c r="G203" s="310">
        <f t="shared" si="5"/>
        <v>0.37050000000000005</v>
      </c>
      <c r="H203" s="299"/>
      <c r="I203" s="298"/>
    </row>
    <row r="204" spans="2:9" s="13" customFormat="1" ht="15" customHeight="1">
      <c r="B204" s="511"/>
      <c r="C204" s="310">
        <v>0.66</v>
      </c>
      <c r="D204" s="310">
        <v>3.25</v>
      </c>
      <c r="E204" s="310">
        <v>0</v>
      </c>
      <c r="F204" s="310">
        <v>1</v>
      </c>
      <c r="G204" s="310">
        <f t="shared" si="5"/>
        <v>2.145</v>
      </c>
      <c r="H204" s="299"/>
      <c r="I204" s="298"/>
    </row>
    <row r="205" spans="2:9" s="13" customFormat="1" ht="15" customHeight="1">
      <c r="B205" s="511"/>
      <c r="C205" s="310">
        <v>1.61</v>
      </c>
      <c r="D205" s="310">
        <v>3.25</v>
      </c>
      <c r="E205" s="310">
        <f>(2.1*1.2)</f>
        <v>2.52</v>
      </c>
      <c r="F205" s="310">
        <v>1</v>
      </c>
      <c r="G205" s="310">
        <f t="shared" si="5"/>
        <v>2.7124999999999999</v>
      </c>
      <c r="H205" s="299"/>
      <c r="I205" s="298"/>
    </row>
    <row r="206" spans="2:9" s="13" customFormat="1">
      <c r="B206" s="511"/>
      <c r="C206" s="310">
        <v>8.26</v>
      </c>
      <c r="D206" s="310">
        <v>3.25</v>
      </c>
      <c r="E206" s="310">
        <f>(0.9*2.1)+2</f>
        <v>3.89</v>
      </c>
      <c r="F206" s="310">
        <v>1</v>
      </c>
      <c r="G206" s="310">
        <f t="shared" si="5"/>
        <v>22.954999999999998</v>
      </c>
      <c r="H206" s="299"/>
      <c r="I206" s="298"/>
    </row>
    <row r="207" spans="2:9" s="13" customFormat="1">
      <c r="B207" s="511"/>
      <c r="C207" s="310">
        <v>8.06</v>
      </c>
      <c r="D207" s="310">
        <v>3.25</v>
      </c>
      <c r="E207" s="310">
        <f>(0.5*2.25)*2</f>
        <v>2.25</v>
      </c>
      <c r="F207" s="310">
        <v>1</v>
      </c>
      <c r="G207" s="310">
        <f t="shared" si="5"/>
        <v>23.945</v>
      </c>
      <c r="H207" s="299"/>
      <c r="I207" s="298"/>
    </row>
    <row r="208" spans="2:9" s="13" customFormat="1">
      <c r="B208" s="511"/>
      <c r="C208" s="310">
        <v>0.21</v>
      </c>
      <c r="D208" s="310">
        <v>2.85</v>
      </c>
      <c r="E208" s="310">
        <v>0</v>
      </c>
      <c r="F208" s="310">
        <v>2</v>
      </c>
      <c r="G208" s="310">
        <f t="shared" si="5"/>
        <v>1.1970000000000001</v>
      </c>
      <c r="H208" s="299"/>
      <c r="I208" s="298"/>
    </row>
    <row r="209" spans="2:9" s="13" customFormat="1">
      <c r="B209" s="511"/>
      <c r="C209" s="310">
        <v>0.34</v>
      </c>
      <c r="D209" s="310">
        <v>3.25</v>
      </c>
      <c r="E209" s="310">
        <v>0</v>
      </c>
      <c r="F209" s="310">
        <v>2</v>
      </c>
      <c r="G209" s="310">
        <f t="shared" si="5"/>
        <v>2.21</v>
      </c>
      <c r="H209" s="299"/>
      <c r="I209" s="298"/>
    </row>
    <row r="210" spans="2:9" s="13" customFormat="1">
      <c r="B210" s="511"/>
      <c r="C210" s="310">
        <v>0.2</v>
      </c>
      <c r="D210" s="310">
        <v>2.85</v>
      </c>
      <c r="E210" s="310">
        <v>0</v>
      </c>
      <c r="F210" s="310">
        <v>2</v>
      </c>
      <c r="G210" s="310">
        <f t="shared" si="5"/>
        <v>1.1400000000000001</v>
      </c>
      <c r="H210" s="299"/>
      <c r="I210" s="298"/>
    </row>
    <row r="211" spans="2:9" s="13" customFormat="1">
      <c r="B211" s="511"/>
      <c r="C211" s="310">
        <v>0.33</v>
      </c>
      <c r="D211" s="310">
        <v>3.25</v>
      </c>
      <c r="E211" s="310">
        <v>0</v>
      </c>
      <c r="F211" s="310">
        <v>2</v>
      </c>
      <c r="G211" s="310">
        <f t="shared" si="5"/>
        <v>2.145</v>
      </c>
      <c r="H211" s="299"/>
      <c r="I211" s="298"/>
    </row>
    <row r="212" spans="2:9" s="13" customFormat="1">
      <c r="B212" s="511"/>
      <c r="C212" s="310">
        <v>0.19</v>
      </c>
      <c r="D212" s="310">
        <v>2.85</v>
      </c>
      <c r="E212" s="310">
        <v>0</v>
      </c>
      <c r="F212" s="310">
        <v>1</v>
      </c>
      <c r="G212" s="310">
        <f t="shared" si="5"/>
        <v>0.54149999999999998</v>
      </c>
      <c r="H212" s="299"/>
      <c r="I212" s="298"/>
    </row>
    <row r="213" spans="2:9" s="13" customFormat="1">
      <c r="B213" s="511"/>
      <c r="C213" s="310">
        <v>0.1</v>
      </c>
      <c r="D213" s="310">
        <v>3.25</v>
      </c>
      <c r="E213" s="310">
        <v>0</v>
      </c>
      <c r="F213" s="310">
        <v>2</v>
      </c>
      <c r="G213" s="310">
        <f t="shared" si="5"/>
        <v>0.65</v>
      </c>
      <c r="H213" s="299"/>
      <c r="I213" s="298"/>
    </row>
    <row r="214" spans="2:9" s="13" customFormat="1">
      <c r="B214" s="511"/>
      <c r="C214" s="310">
        <v>0.17</v>
      </c>
      <c r="D214" s="310">
        <v>3.25</v>
      </c>
      <c r="E214" s="310">
        <v>0</v>
      </c>
      <c r="F214" s="310">
        <v>1</v>
      </c>
      <c r="G214" s="310">
        <f t="shared" si="5"/>
        <v>0.55249999999999999</v>
      </c>
      <c r="H214" s="299"/>
      <c r="I214" s="298"/>
    </row>
    <row r="215" spans="2:9" s="13" customFormat="1">
      <c r="B215" s="511"/>
      <c r="C215" s="310">
        <v>2.0699999999999998</v>
      </c>
      <c r="D215" s="310">
        <v>3.25</v>
      </c>
      <c r="E215" s="310">
        <v>0</v>
      </c>
      <c r="F215" s="310">
        <v>1</v>
      </c>
      <c r="G215" s="310">
        <f t="shared" si="5"/>
        <v>6.7274999999999991</v>
      </c>
      <c r="H215" s="299"/>
      <c r="I215" s="298"/>
    </row>
    <row r="216" spans="2:9" s="13" customFormat="1">
      <c r="B216" s="511"/>
      <c r="C216" s="310">
        <v>1.23</v>
      </c>
      <c r="D216" s="310">
        <v>3.25</v>
      </c>
      <c r="E216" s="310">
        <v>0</v>
      </c>
      <c r="F216" s="310">
        <v>1</v>
      </c>
      <c r="G216" s="310">
        <f t="shared" si="5"/>
        <v>3.9975000000000001</v>
      </c>
      <c r="H216" s="299"/>
      <c r="I216" s="298"/>
    </row>
    <row r="217" spans="2:9" s="13" customFormat="1">
      <c r="B217" s="511"/>
      <c r="C217" s="310">
        <v>0.06</v>
      </c>
      <c r="D217" s="310">
        <v>3.25</v>
      </c>
      <c r="E217" s="310">
        <v>0</v>
      </c>
      <c r="F217" s="310">
        <v>1</v>
      </c>
      <c r="G217" s="310">
        <f t="shared" si="5"/>
        <v>0.19500000000000001</v>
      </c>
      <c r="H217" s="299"/>
      <c r="I217" s="298"/>
    </row>
    <row r="218" spans="2:9" s="13" customFormat="1">
      <c r="B218" s="510"/>
      <c r="C218" s="310">
        <v>0.43</v>
      </c>
      <c r="D218" s="310">
        <v>3.25</v>
      </c>
      <c r="E218" s="310">
        <v>0</v>
      </c>
      <c r="F218" s="310">
        <v>1</v>
      </c>
      <c r="G218" s="310">
        <f t="shared" si="5"/>
        <v>1.3975</v>
      </c>
      <c r="H218" s="299"/>
      <c r="I218" s="298"/>
    </row>
    <row r="219" spans="2:9" s="13" customFormat="1" ht="15" customHeight="1">
      <c r="B219" s="509" t="s">
        <v>131</v>
      </c>
      <c r="C219" s="310">
        <v>4.82</v>
      </c>
      <c r="D219" s="310">
        <v>3.25</v>
      </c>
      <c r="E219" s="310">
        <v>0</v>
      </c>
      <c r="F219" s="310">
        <v>1</v>
      </c>
      <c r="G219" s="310">
        <f t="shared" si="5"/>
        <v>15.665000000000001</v>
      </c>
      <c r="H219" s="299"/>
      <c r="I219" s="298"/>
    </row>
    <row r="220" spans="2:9" s="13" customFormat="1" ht="15" customHeight="1">
      <c r="B220" s="511"/>
      <c r="C220" s="310">
        <v>10.050000000000001</v>
      </c>
      <c r="D220" s="310">
        <v>3.25</v>
      </c>
      <c r="E220" s="310">
        <f>(2.1*1.2)</f>
        <v>2.52</v>
      </c>
      <c r="F220" s="310">
        <v>1</v>
      </c>
      <c r="G220" s="310">
        <f t="shared" si="5"/>
        <v>30.142500000000002</v>
      </c>
      <c r="H220" s="299"/>
      <c r="I220" s="298"/>
    </row>
    <row r="221" spans="2:9" s="13" customFormat="1" ht="15" customHeight="1">
      <c r="B221" s="511"/>
      <c r="C221" s="310">
        <v>2.83</v>
      </c>
      <c r="D221" s="310">
        <v>3.25</v>
      </c>
      <c r="E221" s="310">
        <v>0</v>
      </c>
      <c r="F221" s="310">
        <v>1</v>
      </c>
      <c r="G221" s="310">
        <f t="shared" si="5"/>
        <v>9.1974999999999998</v>
      </c>
      <c r="H221" s="299"/>
      <c r="I221" s="298"/>
    </row>
    <row r="222" spans="2:9" s="13" customFormat="1" ht="15" customHeight="1">
      <c r="B222" s="511"/>
      <c r="C222" s="310">
        <v>0.37</v>
      </c>
      <c r="D222" s="310">
        <v>3.25</v>
      </c>
      <c r="E222" s="310">
        <v>0</v>
      </c>
      <c r="F222" s="310">
        <v>2</v>
      </c>
      <c r="G222" s="310">
        <f t="shared" si="5"/>
        <v>2.4049999999999998</v>
      </c>
      <c r="H222" s="299"/>
      <c r="I222" s="298"/>
    </row>
    <row r="223" spans="2:9" s="13" customFormat="1" ht="15" customHeight="1">
      <c r="B223" s="511"/>
      <c r="C223" s="310">
        <v>0.2</v>
      </c>
      <c r="D223" s="310">
        <v>2.85</v>
      </c>
      <c r="E223" s="310">
        <v>0</v>
      </c>
      <c r="F223" s="310">
        <v>2</v>
      </c>
      <c r="G223" s="310">
        <f t="shared" si="5"/>
        <v>1.1400000000000001</v>
      </c>
      <c r="H223" s="299"/>
      <c r="I223" s="298"/>
    </row>
    <row r="224" spans="2:9" s="13" customFormat="1" ht="15" customHeight="1">
      <c r="B224" s="511"/>
      <c r="C224" s="310">
        <v>0.22</v>
      </c>
      <c r="D224" s="310">
        <v>3.25</v>
      </c>
      <c r="E224" s="310">
        <v>0</v>
      </c>
      <c r="F224" s="310">
        <v>2</v>
      </c>
      <c r="G224" s="310">
        <f t="shared" si="5"/>
        <v>1.43</v>
      </c>
      <c r="H224" s="299"/>
      <c r="I224" s="298"/>
    </row>
    <row r="225" spans="2:9" s="13" customFormat="1">
      <c r="B225" s="511"/>
      <c r="C225" s="310">
        <v>0.99</v>
      </c>
      <c r="D225" s="310">
        <v>3.25</v>
      </c>
      <c r="E225" s="310">
        <v>0</v>
      </c>
      <c r="F225" s="310">
        <v>1</v>
      </c>
      <c r="G225" s="310">
        <f t="shared" si="5"/>
        <v>3.2174999999999998</v>
      </c>
      <c r="H225" s="299"/>
      <c r="I225" s="298"/>
    </row>
    <row r="226" spans="2:9" s="13" customFormat="1">
      <c r="B226" s="510"/>
      <c r="C226" s="310">
        <v>2.83</v>
      </c>
      <c r="D226" s="310">
        <v>3.25</v>
      </c>
      <c r="E226" s="310">
        <f>(0.9*2.1)*2</f>
        <v>3.7800000000000002</v>
      </c>
      <c r="F226" s="310">
        <v>1</v>
      </c>
      <c r="G226" s="310">
        <f t="shared" ref="G226:G264" si="6">((C226*D226*F226)-E226)</f>
        <v>5.4174999999999995</v>
      </c>
      <c r="H226" s="299"/>
      <c r="I226" s="298"/>
    </row>
    <row r="227" spans="2:9" s="13" customFormat="1">
      <c r="B227" s="509" t="s">
        <v>134</v>
      </c>
      <c r="C227" s="310">
        <v>4.04</v>
      </c>
      <c r="D227" s="310">
        <v>3.25</v>
      </c>
      <c r="E227" s="310">
        <f>(0.9*2.1)+1</f>
        <v>2.89</v>
      </c>
      <c r="F227" s="310">
        <v>2</v>
      </c>
      <c r="G227" s="310">
        <f t="shared" si="6"/>
        <v>23.37</v>
      </c>
      <c r="H227" s="23"/>
      <c r="I227" s="298"/>
    </row>
    <row r="228" spans="2:9" s="13" customFormat="1">
      <c r="B228" s="511"/>
      <c r="C228" s="310">
        <v>3.58</v>
      </c>
      <c r="D228" s="310">
        <v>3.25</v>
      </c>
      <c r="E228" s="310">
        <v>0</v>
      </c>
      <c r="F228" s="310">
        <v>1</v>
      </c>
      <c r="G228" s="310">
        <f t="shared" si="6"/>
        <v>11.635</v>
      </c>
      <c r="H228" s="23"/>
      <c r="I228" s="298"/>
    </row>
    <row r="229" spans="2:9" s="13" customFormat="1">
      <c r="B229" s="511"/>
      <c r="C229" s="310">
        <v>1.51</v>
      </c>
      <c r="D229" s="310">
        <v>3.25</v>
      </c>
      <c r="E229" s="310">
        <v>0</v>
      </c>
      <c r="F229" s="310">
        <v>1</v>
      </c>
      <c r="G229" s="310">
        <f t="shared" si="6"/>
        <v>4.9074999999999998</v>
      </c>
      <c r="H229" s="23"/>
      <c r="I229" s="298"/>
    </row>
    <row r="230" spans="2:9" s="13" customFormat="1">
      <c r="B230" s="511"/>
      <c r="C230" s="310">
        <v>1.86</v>
      </c>
      <c r="D230" s="310">
        <v>3.25</v>
      </c>
      <c r="E230" s="310">
        <v>0</v>
      </c>
      <c r="F230" s="310">
        <v>1</v>
      </c>
      <c r="G230" s="310">
        <f t="shared" si="6"/>
        <v>6.0449999999999999</v>
      </c>
      <c r="H230" s="23"/>
      <c r="I230" s="298"/>
    </row>
    <row r="231" spans="2:9" s="13" customFormat="1">
      <c r="B231" s="511"/>
      <c r="C231" s="310">
        <v>0.19</v>
      </c>
      <c r="D231" s="310">
        <v>3.25</v>
      </c>
      <c r="E231" s="310">
        <v>0</v>
      </c>
      <c r="F231" s="310">
        <v>2</v>
      </c>
      <c r="G231" s="310">
        <f t="shared" si="6"/>
        <v>1.2350000000000001</v>
      </c>
      <c r="H231" s="23"/>
      <c r="I231" s="298"/>
    </row>
    <row r="232" spans="2:9" s="13" customFormat="1">
      <c r="B232" s="510"/>
      <c r="C232" s="310">
        <v>0.25</v>
      </c>
      <c r="D232" s="310">
        <v>3.25</v>
      </c>
      <c r="E232" s="310">
        <v>0</v>
      </c>
      <c r="F232" s="310">
        <v>1</v>
      </c>
      <c r="G232" s="310">
        <f t="shared" si="6"/>
        <v>0.8125</v>
      </c>
      <c r="H232" s="23"/>
      <c r="I232" s="298"/>
    </row>
    <row r="233" spans="2:9" s="13" customFormat="1">
      <c r="B233" s="509" t="s">
        <v>133</v>
      </c>
      <c r="C233" s="310">
        <v>4.04</v>
      </c>
      <c r="D233" s="310">
        <v>3.25</v>
      </c>
      <c r="E233" s="310">
        <f>(0.5*2)</f>
        <v>1</v>
      </c>
      <c r="F233" s="310">
        <v>2</v>
      </c>
      <c r="G233" s="310">
        <f t="shared" si="6"/>
        <v>25.26</v>
      </c>
      <c r="H233" s="23"/>
      <c r="I233" s="298"/>
    </row>
    <row r="234" spans="2:9" s="13" customFormat="1" ht="15" customHeight="1">
      <c r="B234" s="511"/>
      <c r="C234" s="303">
        <v>1.86</v>
      </c>
      <c r="D234" s="310">
        <v>3.25</v>
      </c>
      <c r="E234" s="303">
        <v>0</v>
      </c>
      <c r="F234" s="310">
        <v>1</v>
      </c>
      <c r="G234" s="303">
        <f t="shared" si="6"/>
        <v>6.0449999999999999</v>
      </c>
      <c r="H234" s="23"/>
      <c r="I234" s="298"/>
    </row>
    <row r="235" spans="2:9" s="13" customFormat="1" ht="15" customHeight="1">
      <c r="B235" s="511"/>
      <c r="C235" s="303">
        <v>1.57</v>
      </c>
      <c r="D235" s="310">
        <v>3.25</v>
      </c>
      <c r="E235" s="303">
        <v>0</v>
      </c>
      <c r="F235" s="310">
        <v>1</v>
      </c>
      <c r="G235" s="303">
        <f t="shared" si="6"/>
        <v>5.1025</v>
      </c>
      <c r="H235" s="23"/>
      <c r="I235" s="298"/>
    </row>
    <row r="236" spans="2:9" s="13" customFormat="1" ht="15" customHeight="1">
      <c r="B236" s="511"/>
      <c r="C236" s="303">
        <v>0.19</v>
      </c>
      <c r="D236" s="310">
        <v>2.85</v>
      </c>
      <c r="E236" s="303">
        <v>0</v>
      </c>
      <c r="F236" s="310">
        <v>1</v>
      </c>
      <c r="G236" s="303">
        <f t="shared" si="6"/>
        <v>0.54149999999999998</v>
      </c>
      <c r="H236" s="23"/>
      <c r="I236" s="298"/>
    </row>
    <row r="237" spans="2:9" s="13" customFormat="1" ht="15" customHeight="1">
      <c r="B237" s="510"/>
      <c r="C237" s="303">
        <v>0.2</v>
      </c>
      <c r="D237" s="303">
        <v>3.25</v>
      </c>
      <c r="E237" s="303">
        <v>0</v>
      </c>
      <c r="F237" s="310">
        <v>2</v>
      </c>
      <c r="G237" s="303">
        <f t="shared" si="6"/>
        <v>1.3</v>
      </c>
      <c r="H237" s="23"/>
      <c r="I237" s="298"/>
    </row>
    <row r="238" spans="2:9" s="13" customFormat="1" ht="15" customHeight="1">
      <c r="B238" s="509" t="s">
        <v>149</v>
      </c>
      <c r="C238" s="303">
        <v>4.3099999999999996</v>
      </c>
      <c r="D238" s="303">
        <v>2.89</v>
      </c>
      <c r="E238" s="303">
        <v>0</v>
      </c>
      <c r="F238" s="310">
        <v>1</v>
      </c>
      <c r="G238" s="303">
        <f t="shared" si="6"/>
        <v>12.4559</v>
      </c>
      <c r="H238" s="23"/>
      <c r="I238" s="298"/>
    </row>
    <row r="239" spans="2:9" s="13" customFormat="1" ht="15" customHeight="1">
      <c r="B239" s="511"/>
      <c r="C239" s="303">
        <v>4.8099999999999996</v>
      </c>
      <c r="D239" s="303">
        <v>2.89</v>
      </c>
      <c r="E239" s="303">
        <f>(1.2*1.2)</f>
        <v>1.44</v>
      </c>
      <c r="F239" s="310">
        <v>1</v>
      </c>
      <c r="G239" s="303">
        <f t="shared" si="6"/>
        <v>12.460900000000001</v>
      </c>
      <c r="H239" s="23"/>
      <c r="I239" s="298"/>
    </row>
    <row r="240" spans="2:9" s="13" customFormat="1" ht="15" customHeight="1">
      <c r="B240" s="511"/>
      <c r="C240" s="303">
        <v>0.13</v>
      </c>
      <c r="D240" s="303">
        <v>2.89</v>
      </c>
      <c r="E240" s="303">
        <v>0</v>
      </c>
      <c r="F240" s="310">
        <v>2</v>
      </c>
      <c r="G240" s="303">
        <f t="shared" si="6"/>
        <v>0.75140000000000007</v>
      </c>
      <c r="H240" s="23"/>
      <c r="I240" s="298"/>
    </row>
    <row r="241" spans="2:9" s="13" customFormat="1" ht="15" customHeight="1">
      <c r="B241" s="511"/>
      <c r="C241" s="303">
        <v>0.35</v>
      </c>
      <c r="D241" s="303">
        <v>2.1</v>
      </c>
      <c r="E241" s="303">
        <v>0</v>
      </c>
      <c r="F241" s="310">
        <v>1</v>
      </c>
      <c r="G241" s="303">
        <f t="shared" ref="G241:G243" si="7">((C241*D241*F241)-E241)</f>
        <v>0.73499999999999999</v>
      </c>
      <c r="H241" s="23"/>
      <c r="I241" s="298"/>
    </row>
    <row r="242" spans="2:9" s="13" customFormat="1" ht="15" customHeight="1">
      <c r="B242" s="511"/>
      <c r="C242" s="303">
        <v>0.54</v>
      </c>
      <c r="D242" s="303">
        <v>0.36</v>
      </c>
      <c r="E242" s="303">
        <v>0</v>
      </c>
      <c r="F242" s="310">
        <v>1</v>
      </c>
      <c r="G242" s="303">
        <f t="shared" si="7"/>
        <v>0.19440000000000002</v>
      </c>
      <c r="H242" s="23"/>
      <c r="I242" s="298"/>
    </row>
    <row r="243" spans="2:9" s="13" customFormat="1" ht="15" customHeight="1">
      <c r="B243" s="511"/>
      <c r="C243" s="303">
        <v>4.79</v>
      </c>
      <c r="D243" s="303">
        <v>0.35</v>
      </c>
      <c r="E243" s="303">
        <f>0.8*0.18</f>
        <v>0.14399999999999999</v>
      </c>
      <c r="F243" s="310">
        <v>1</v>
      </c>
      <c r="G243" s="303">
        <f t="shared" si="7"/>
        <v>1.5325</v>
      </c>
      <c r="H243" s="23"/>
      <c r="I243" s="298"/>
    </row>
    <row r="244" spans="2:9" s="13" customFormat="1" ht="15" customHeight="1">
      <c r="B244" s="511"/>
      <c r="C244" s="303">
        <v>2.95</v>
      </c>
      <c r="D244" s="303">
        <v>2.89</v>
      </c>
      <c r="E244" s="303">
        <v>0</v>
      </c>
      <c r="F244" s="310">
        <v>2</v>
      </c>
      <c r="G244" s="303">
        <f t="shared" si="6"/>
        <v>17.051000000000002</v>
      </c>
      <c r="H244" s="23"/>
      <c r="I244" s="298"/>
    </row>
    <row r="245" spans="2:9" s="13" customFormat="1" ht="15" customHeight="1">
      <c r="B245" s="509" t="s">
        <v>132</v>
      </c>
      <c r="C245" s="303">
        <v>0.35</v>
      </c>
      <c r="D245" s="303">
        <v>2.1</v>
      </c>
      <c r="E245" s="303">
        <v>0</v>
      </c>
      <c r="F245" s="310">
        <v>1</v>
      </c>
      <c r="G245" s="303">
        <f t="shared" si="6"/>
        <v>0.73499999999999999</v>
      </c>
      <c r="H245" s="23"/>
      <c r="I245" s="298"/>
    </row>
    <row r="246" spans="2:9" s="13" customFormat="1" ht="15" customHeight="1">
      <c r="B246" s="511"/>
      <c r="C246" s="303">
        <v>0.54</v>
      </c>
      <c r="D246" s="303">
        <v>0.36</v>
      </c>
      <c r="E246" s="303">
        <v>0</v>
      </c>
      <c r="F246" s="310">
        <v>1</v>
      </c>
      <c r="G246" s="303">
        <f t="shared" si="6"/>
        <v>0.19440000000000002</v>
      </c>
      <c r="H246" s="23"/>
      <c r="I246" s="298"/>
    </row>
    <row r="247" spans="2:9" s="13" customFormat="1" ht="15" customHeight="1">
      <c r="B247" s="509" t="s">
        <v>138</v>
      </c>
      <c r="C247" s="303">
        <v>2.68</v>
      </c>
      <c r="D247" s="310">
        <v>3.25</v>
      </c>
      <c r="E247" s="303">
        <f>(0.9*2.1)</f>
        <v>1.8900000000000001</v>
      </c>
      <c r="F247" s="310">
        <v>1</v>
      </c>
      <c r="G247" s="303">
        <f t="shared" si="6"/>
        <v>6.82</v>
      </c>
      <c r="H247" s="23"/>
      <c r="I247" s="298"/>
    </row>
    <row r="248" spans="2:9" s="13" customFormat="1" ht="15" customHeight="1">
      <c r="B248" s="511"/>
      <c r="C248" s="303">
        <v>1.26</v>
      </c>
      <c r="D248" s="310">
        <v>3.25</v>
      </c>
      <c r="E248" s="303">
        <v>0</v>
      </c>
      <c r="F248" s="310">
        <v>1</v>
      </c>
      <c r="G248" s="303">
        <f t="shared" si="6"/>
        <v>4.0949999999999998</v>
      </c>
      <c r="H248" s="23"/>
      <c r="I248" s="298"/>
    </row>
    <row r="249" spans="2:9" s="13" customFormat="1" ht="15" customHeight="1">
      <c r="B249" s="511"/>
      <c r="C249" s="303">
        <v>0.68</v>
      </c>
      <c r="D249" s="310">
        <v>3.25</v>
      </c>
      <c r="E249" s="303">
        <v>0</v>
      </c>
      <c r="F249" s="310">
        <v>1</v>
      </c>
      <c r="G249" s="303">
        <f t="shared" si="6"/>
        <v>2.21</v>
      </c>
      <c r="H249" s="23"/>
      <c r="I249" s="298"/>
    </row>
    <row r="250" spans="2:9" s="13" customFormat="1" ht="15" customHeight="1">
      <c r="B250" s="511"/>
      <c r="C250" s="303">
        <v>1.52</v>
      </c>
      <c r="D250" s="310">
        <v>3.25</v>
      </c>
      <c r="E250" s="303">
        <f>(1.2*2.1)</f>
        <v>2.52</v>
      </c>
      <c r="F250" s="310">
        <v>1</v>
      </c>
      <c r="G250" s="303">
        <f t="shared" si="6"/>
        <v>2.4200000000000004</v>
      </c>
      <c r="H250" s="23"/>
      <c r="I250" s="298"/>
    </row>
    <row r="251" spans="2:9" s="13" customFormat="1" ht="15" customHeight="1">
      <c r="B251" s="511"/>
      <c r="C251" s="303">
        <v>0.7</v>
      </c>
      <c r="D251" s="310">
        <v>3.25</v>
      </c>
      <c r="E251" s="303">
        <v>0</v>
      </c>
      <c r="F251" s="310">
        <v>1</v>
      </c>
      <c r="G251" s="303">
        <f t="shared" si="6"/>
        <v>2.2749999999999999</v>
      </c>
      <c r="H251" s="23"/>
      <c r="I251" s="298"/>
    </row>
    <row r="252" spans="2:9" s="13" customFormat="1" ht="15" customHeight="1">
      <c r="B252" s="511"/>
      <c r="C252" s="303">
        <v>2.89</v>
      </c>
      <c r="D252" s="310">
        <v>3.25</v>
      </c>
      <c r="E252" s="303">
        <v>0</v>
      </c>
      <c r="F252" s="310">
        <v>1</v>
      </c>
      <c r="G252" s="303">
        <f t="shared" si="6"/>
        <v>9.3925000000000001</v>
      </c>
      <c r="H252" s="23"/>
      <c r="I252" s="298"/>
    </row>
    <row r="253" spans="2:9" s="13" customFormat="1" ht="15" customHeight="1">
      <c r="B253" s="511"/>
      <c r="C253" s="303">
        <v>1.52</v>
      </c>
      <c r="D253" s="310">
        <v>0.4</v>
      </c>
      <c r="E253" s="303">
        <v>0</v>
      </c>
      <c r="F253" s="310">
        <v>1</v>
      </c>
      <c r="G253" s="303">
        <f t="shared" si="6"/>
        <v>0.6080000000000001</v>
      </c>
      <c r="H253" s="519" t="s">
        <v>277</v>
      </c>
      <c r="I253" s="298"/>
    </row>
    <row r="254" spans="2:9" s="13" customFormat="1" ht="15" customHeight="1">
      <c r="B254" s="511"/>
      <c r="C254" s="303">
        <v>1.52</v>
      </c>
      <c r="D254" s="310">
        <v>0.16</v>
      </c>
      <c r="E254" s="303">
        <v>0</v>
      </c>
      <c r="F254" s="310">
        <v>1</v>
      </c>
      <c r="G254" s="303">
        <f t="shared" si="6"/>
        <v>0.2432</v>
      </c>
      <c r="H254" s="543"/>
      <c r="I254" s="298"/>
    </row>
    <row r="255" spans="2:9" s="13" customFormat="1" ht="15" customHeight="1">
      <c r="B255" s="511"/>
      <c r="C255" s="303">
        <v>8.8699999999999992</v>
      </c>
      <c r="D255" s="310">
        <v>0.15</v>
      </c>
      <c r="E255" s="303">
        <v>0</v>
      </c>
      <c r="F255" s="310">
        <v>1</v>
      </c>
      <c r="G255" s="303">
        <f t="shared" si="6"/>
        <v>1.3304999999999998</v>
      </c>
      <c r="H255" s="543"/>
      <c r="I255" s="298"/>
    </row>
    <row r="256" spans="2:9" s="13" customFormat="1" ht="15" customHeight="1">
      <c r="B256" s="511"/>
      <c r="C256" s="303">
        <v>8.8699999999999992</v>
      </c>
      <c r="D256" s="310">
        <v>0.4</v>
      </c>
      <c r="E256" s="303">
        <v>0</v>
      </c>
      <c r="F256" s="310">
        <v>1</v>
      </c>
      <c r="G256" s="303">
        <f t="shared" si="6"/>
        <v>3.548</v>
      </c>
      <c r="H256" s="520"/>
      <c r="I256" s="298"/>
    </row>
    <row r="257" spans="2:9" s="13" customFormat="1" ht="15" customHeight="1">
      <c r="B257" s="510"/>
      <c r="C257" s="303">
        <v>5.78</v>
      </c>
      <c r="D257" s="310">
        <v>3.25</v>
      </c>
      <c r="E257" s="303">
        <v>0</v>
      </c>
      <c r="F257" s="310">
        <v>1</v>
      </c>
      <c r="G257" s="303">
        <f t="shared" si="6"/>
        <v>18.785</v>
      </c>
      <c r="H257" s="23"/>
      <c r="I257" s="298"/>
    </row>
    <row r="258" spans="2:9" s="13" customFormat="1">
      <c r="B258" s="512" t="s">
        <v>202</v>
      </c>
      <c r="C258" s="303">
        <v>2.74</v>
      </c>
      <c r="D258" s="310">
        <v>3.25</v>
      </c>
      <c r="E258" s="303">
        <f>(1.2*1.2)</f>
        <v>1.44</v>
      </c>
      <c r="F258" s="310">
        <v>2</v>
      </c>
      <c r="G258" s="303">
        <f t="shared" si="6"/>
        <v>16.37</v>
      </c>
      <c r="H258" s="23"/>
      <c r="I258" s="298"/>
    </row>
    <row r="259" spans="2:9" s="13" customFormat="1" ht="15" customHeight="1">
      <c r="B259" s="512"/>
      <c r="C259" s="303">
        <v>2.57</v>
      </c>
      <c r="D259" s="310">
        <v>3.25</v>
      </c>
      <c r="E259" s="303">
        <f>(0.9*2.1)</f>
        <v>1.8900000000000001</v>
      </c>
      <c r="F259" s="310">
        <v>2</v>
      </c>
      <c r="G259" s="303">
        <f t="shared" si="6"/>
        <v>14.814999999999998</v>
      </c>
      <c r="H259" s="23"/>
      <c r="I259" s="298"/>
    </row>
    <row r="260" spans="2:9" s="13" customFormat="1" ht="15" customHeight="1">
      <c r="B260" s="509" t="s">
        <v>205</v>
      </c>
      <c r="C260" s="303">
        <v>1.39</v>
      </c>
      <c r="D260" s="310">
        <v>3.25</v>
      </c>
      <c r="E260" s="303">
        <f>(0.9*2.1)</f>
        <v>1.8900000000000001</v>
      </c>
      <c r="F260" s="310">
        <v>2</v>
      </c>
      <c r="G260" s="303">
        <f t="shared" si="6"/>
        <v>7.1449999999999996</v>
      </c>
      <c r="H260" s="23"/>
      <c r="I260" s="298"/>
    </row>
    <row r="261" spans="2:9" s="13" customFormat="1" ht="15" customHeight="1">
      <c r="B261" s="510"/>
      <c r="C261" s="303">
        <v>2.59</v>
      </c>
      <c r="D261" s="310">
        <v>3.25</v>
      </c>
      <c r="E261" s="303">
        <v>0</v>
      </c>
      <c r="F261" s="310">
        <v>2</v>
      </c>
      <c r="G261" s="303">
        <f t="shared" si="6"/>
        <v>16.835000000000001</v>
      </c>
      <c r="H261" s="23"/>
      <c r="I261" s="298"/>
    </row>
    <row r="262" spans="2:9" s="13" customFormat="1" ht="15" customHeight="1">
      <c r="B262" s="509" t="s">
        <v>204</v>
      </c>
      <c r="C262" s="303">
        <v>1.39</v>
      </c>
      <c r="D262" s="310">
        <v>3.25</v>
      </c>
      <c r="E262" s="303">
        <f>(0.9*2.1)</f>
        <v>1.8900000000000001</v>
      </c>
      <c r="F262" s="310">
        <v>2</v>
      </c>
      <c r="G262" s="303">
        <f t="shared" si="6"/>
        <v>7.1449999999999996</v>
      </c>
      <c r="H262" s="23"/>
      <c r="I262" s="298"/>
    </row>
    <row r="263" spans="2:9" s="13" customFormat="1" ht="15" customHeight="1">
      <c r="B263" s="510"/>
      <c r="C263" s="303">
        <v>2.59</v>
      </c>
      <c r="D263" s="310">
        <v>3.25</v>
      </c>
      <c r="E263" s="303">
        <v>0</v>
      </c>
      <c r="F263" s="310">
        <v>2</v>
      </c>
      <c r="G263" s="303">
        <f t="shared" si="6"/>
        <v>16.835000000000001</v>
      </c>
      <c r="H263" s="23"/>
      <c r="I263" s="298"/>
    </row>
    <row r="264" spans="2:9" s="13" customFormat="1">
      <c r="B264" s="302" t="s">
        <v>164</v>
      </c>
      <c r="C264" s="303">
        <v>0.2</v>
      </c>
      <c r="D264" s="310">
        <v>2.1</v>
      </c>
      <c r="E264" s="303">
        <v>0</v>
      </c>
      <c r="F264" s="310">
        <v>1</v>
      </c>
      <c r="G264" s="303">
        <f t="shared" si="6"/>
        <v>0.42000000000000004</v>
      </c>
      <c r="H264" s="23"/>
      <c r="I264" s="298"/>
    </row>
    <row r="265" spans="2:9" s="13" customFormat="1">
      <c r="B265" s="336"/>
      <c r="C265" s="325"/>
      <c r="D265" s="325"/>
      <c r="E265" s="325"/>
      <c r="F265" s="325"/>
      <c r="G265" s="316">
        <f>SUM(G201:G263)</f>
        <v>430.92819999999983</v>
      </c>
      <c r="H265" s="305" t="s">
        <v>161</v>
      </c>
      <c r="I265" s="298"/>
    </row>
    <row r="266" spans="2:9" s="13" customFormat="1">
      <c r="B266" s="336"/>
      <c r="C266" s="325"/>
      <c r="D266" s="325"/>
      <c r="E266" s="325"/>
      <c r="F266" s="325"/>
      <c r="G266" s="308"/>
      <c r="H266" s="309"/>
      <c r="I266" s="298"/>
    </row>
    <row r="267" spans="2:9">
      <c r="C267" s="337" t="s">
        <v>208</v>
      </c>
      <c r="D267" s="338"/>
      <c r="E267" s="298"/>
      <c r="F267" s="298"/>
      <c r="G267" s="298"/>
      <c r="H267" s="299"/>
    </row>
    <row r="268" spans="2:9">
      <c r="B268" s="23"/>
      <c r="C268" s="301" t="s">
        <v>127</v>
      </c>
      <c r="D268" s="301" t="s">
        <v>162</v>
      </c>
      <c r="E268" s="23"/>
      <c r="F268" s="23"/>
      <c r="G268" s="23"/>
      <c r="H268" s="23"/>
    </row>
    <row r="269" spans="2:9">
      <c r="B269" s="23"/>
      <c r="C269" s="509" t="s">
        <v>234</v>
      </c>
      <c r="D269" s="310">
        <v>0.52</v>
      </c>
      <c r="E269" s="23"/>
      <c r="F269" s="23"/>
      <c r="G269" s="23"/>
      <c r="H269" s="23"/>
    </row>
    <row r="270" spans="2:9">
      <c r="B270" s="23"/>
      <c r="C270" s="510"/>
      <c r="D270" s="310">
        <v>1.18</v>
      </c>
      <c r="E270" s="23"/>
      <c r="F270" s="23"/>
      <c r="G270" s="23"/>
      <c r="H270" s="23"/>
    </row>
    <row r="271" spans="2:9">
      <c r="B271" s="23"/>
      <c r="C271" s="23"/>
      <c r="D271" s="304">
        <f>SUM(D269:D270)</f>
        <v>1.7</v>
      </c>
      <c r="E271" s="305" t="s">
        <v>90</v>
      </c>
      <c r="F271" s="23"/>
      <c r="G271" s="23"/>
      <c r="H271" s="23"/>
    </row>
    <row r="272" spans="2:9" s="13" customFormat="1" ht="15" customHeight="1">
      <c r="B272" s="329"/>
      <c r="C272" s="321"/>
      <c r="D272" s="321"/>
      <c r="E272" s="321"/>
      <c r="F272" s="321"/>
      <c r="G272" s="321"/>
      <c r="H272" s="299"/>
      <c r="I272" s="298"/>
    </row>
    <row r="273" spans="2:9" s="13" customFormat="1" ht="15" customHeight="1">
      <c r="B273" s="329"/>
      <c r="C273" s="321"/>
      <c r="D273" s="330" t="s">
        <v>226</v>
      </c>
      <c r="E273" s="331">
        <f xml:space="preserve"> D271+G265</f>
        <v>432.62819999999982</v>
      </c>
      <c r="F273" s="305" t="s">
        <v>90</v>
      </c>
      <c r="G273" s="321"/>
      <c r="H273" s="299"/>
      <c r="I273" s="298"/>
    </row>
    <row r="274" spans="2:9" s="13" customFormat="1" ht="15" customHeight="1">
      <c r="B274" s="329"/>
      <c r="C274" s="321"/>
      <c r="D274" s="321"/>
      <c r="E274" s="321"/>
      <c r="F274" s="321"/>
      <c r="G274" s="321"/>
      <c r="H274" s="299"/>
      <c r="I274" s="298"/>
    </row>
    <row r="275" spans="2:9" ht="31.5" customHeight="1">
      <c r="B275" s="523" t="s">
        <v>322</v>
      </c>
      <c r="C275" s="523"/>
      <c r="D275" s="523"/>
      <c r="E275" s="523"/>
      <c r="F275" s="523"/>
      <c r="G275" s="523"/>
      <c r="H275" s="523"/>
    </row>
    <row r="276" spans="2:9">
      <c r="B276" s="299"/>
      <c r="C276" s="299"/>
      <c r="D276" s="299"/>
      <c r="E276" s="299"/>
      <c r="F276" s="299"/>
      <c r="G276" s="299"/>
      <c r="H276" s="299"/>
    </row>
    <row r="277" spans="2:9" s="13" customFormat="1">
      <c r="B277" s="301" t="s">
        <v>127</v>
      </c>
      <c r="C277" s="301" t="s">
        <v>159</v>
      </c>
      <c r="D277" s="317" t="s">
        <v>121</v>
      </c>
      <c r="E277" s="301" t="s">
        <v>160</v>
      </c>
      <c r="F277" s="301" t="s">
        <v>125</v>
      </c>
      <c r="G277" s="301" t="s">
        <v>123</v>
      </c>
      <c r="H277" s="299"/>
      <c r="I277" s="298"/>
    </row>
    <row r="278" spans="2:9" s="13" customFormat="1">
      <c r="B278" s="509" t="s">
        <v>131</v>
      </c>
      <c r="C278" s="310">
        <v>2.83</v>
      </c>
      <c r="D278" s="310">
        <v>3.25</v>
      </c>
      <c r="E278" s="310">
        <v>0</v>
      </c>
      <c r="F278" s="310">
        <v>1</v>
      </c>
      <c r="G278" s="310">
        <f>((C278*D278*F278)-E278)</f>
        <v>9.1974999999999998</v>
      </c>
      <c r="H278" s="299"/>
      <c r="I278" s="298"/>
    </row>
    <row r="279" spans="2:9" s="13" customFormat="1" ht="15" customHeight="1">
      <c r="B279" s="510"/>
      <c r="C279" s="310">
        <v>10.050000000000001</v>
      </c>
      <c r="D279" s="310">
        <v>3.25</v>
      </c>
      <c r="E279" s="310">
        <f>(2.1*1.2)</f>
        <v>2.52</v>
      </c>
      <c r="F279" s="310">
        <v>1</v>
      </c>
      <c r="G279" s="310">
        <f>((C279*D279*F279)-E279)</f>
        <v>30.142500000000002</v>
      </c>
      <c r="H279" s="299"/>
      <c r="I279" s="298"/>
    </row>
    <row r="280" spans="2:9" s="13" customFormat="1">
      <c r="B280" s="339" t="s">
        <v>134</v>
      </c>
      <c r="C280" s="310">
        <v>4.04</v>
      </c>
      <c r="D280" s="310">
        <v>3.25</v>
      </c>
      <c r="E280" s="310">
        <v>0</v>
      </c>
      <c r="F280" s="310">
        <v>1</v>
      </c>
      <c r="G280" s="310">
        <f>((C280*D280*F280)-E280)</f>
        <v>13.13</v>
      </c>
      <c r="H280" s="23"/>
      <c r="I280" s="298"/>
    </row>
    <row r="281" spans="2:9" s="13" customFormat="1">
      <c r="B281" s="339" t="s">
        <v>133</v>
      </c>
      <c r="C281" s="310">
        <v>4.04</v>
      </c>
      <c r="D281" s="310">
        <v>3.25</v>
      </c>
      <c r="E281" s="310">
        <v>0</v>
      </c>
      <c r="F281" s="310">
        <v>1</v>
      </c>
      <c r="G281" s="310">
        <f>((C281*D281*F281)-E281)</f>
        <v>13.13</v>
      </c>
      <c r="H281" s="23"/>
      <c r="I281" s="298"/>
    </row>
    <row r="282" spans="2:9" s="13" customFormat="1" ht="15" customHeight="1">
      <c r="B282" s="339" t="s">
        <v>138</v>
      </c>
      <c r="C282" s="303">
        <v>5.78</v>
      </c>
      <c r="D282" s="310">
        <v>3.25</v>
      </c>
      <c r="E282" s="303">
        <v>0</v>
      </c>
      <c r="F282" s="310">
        <v>1</v>
      </c>
      <c r="G282" s="303">
        <f>((C282*D282*F282)-E282)</f>
        <v>18.785</v>
      </c>
      <c r="H282" s="23"/>
      <c r="I282" s="298"/>
    </row>
    <row r="283" spans="2:9" s="13" customFormat="1">
      <c r="B283" s="340"/>
      <c r="C283" s="325"/>
      <c r="D283" s="325"/>
      <c r="E283" s="325"/>
      <c r="F283" s="325"/>
      <c r="G283" s="316">
        <f>SUM(G278:G282)</f>
        <v>84.385000000000005</v>
      </c>
      <c r="H283" s="305" t="s">
        <v>161</v>
      </c>
      <c r="I283" s="298"/>
    </row>
    <row r="284" spans="2:9" s="13" customFormat="1" ht="15" customHeight="1">
      <c r="B284" s="341"/>
      <c r="C284" s="341"/>
      <c r="D284" s="308"/>
      <c r="E284" s="309"/>
      <c r="F284" s="325"/>
      <c r="G284" s="325"/>
      <c r="H284" s="23"/>
      <c r="I284" s="298"/>
    </row>
    <row r="285" spans="2:9" ht="21.75" customHeight="1">
      <c r="B285" s="513" t="s">
        <v>323</v>
      </c>
      <c r="C285" s="513"/>
      <c r="D285" s="513"/>
      <c r="E285" s="513"/>
      <c r="F285" s="513"/>
      <c r="G285" s="513"/>
      <c r="H285" s="513"/>
    </row>
    <row r="286" spans="2:9">
      <c r="B286" s="299"/>
      <c r="C286" s="299"/>
      <c r="D286" s="299"/>
      <c r="E286" s="299"/>
      <c r="F286" s="299"/>
      <c r="G286" s="299"/>
      <c r="H286" s="299"/>
    </row>
    <row r="287" spans="2:9">
      <c r="B287" s="540" t="s">
        <v>224</v>
      </c>
      <c r="C287" s="541"/>
      <c r="D287" s="541"/>
      <c r="E287" s="541"/>
      <c r="F287" s="541"/>
      <c r="G287" s="542"/>
      <c r="H287" s="299"/>
    </row>
    <row r="288" spans="2:9" s="13" customFormat="1">
      <c r="B288" s="301" t="s">
        <v>127</v>
      </c>
      <c r="C288" s="301" t="s">
        <v>159</v>
      </c>
      <c r="D288" s="317" t="s">
        <v>121</v>
      </c>
      <c r="E288" s="301" t="s">
        <v>160</v>
      </c>
      <c r="F288" s="301" t="s">
        <v>125</v>
      </c>
      <c r="G288" s="301" t="s">
        <v>123</v>
      </c>
      <c r="H288" s="299"/>
      <c r="I288" s="298"/>
    </row>
    <row r="289" spans="2:9" s="13" customFormat="1" ht="15" customHeight="1">
      <c r="B289" s="509" t="s">
        <v>130</v>
      </c>
      <c r="C289" s="310">
        <v>5.18</v>
      </c>
      <c r="D289" s="310">
        <v>3.25</v>
      </c>
      <c r="E289" s="310">
        <v>0</v>
      </c>
      <c r="F289" s="310">
        <v>1</v>
      </c>
      <c r="G289" s="310">
        <f t="shared" ref="G289:G312" si="8">((C289*D289)*F289)-E289</f>
        <v>16.835000000000001</v>
      </c>
      <c r="H289" s="299"/>
      <c r="I289" s="298"/>
    </row>
    <row r="290" spans="2:9" s="13" customFormat="1" ht="15" customHeight="1">
      <c r="B290" s="511"/>
      <c r="C290" s="310">
        <v>1.44</v>
      </c>
      <c r="D290" s="310">
        <v>3.25</v>
      </c>
      <c r="E290" s="310">
        <v>0</v>
      </c>
      <c r="F290" s="310">
        <v>2</v>
      </c>
      <c r="G290" s="310">
        <f t="shared" si="8"/>
        <v>9.36</v>
      </c>
      <c r="H290" s="299"/>
      <c r="I290" s="298"/>
    </row>
    <row r="291" spans="2:9" s="13" customFormat="1">
      <c r="B291" s="511"/>
      <c r="C291" s="310">
        <v>0.13</v>
      </c>
      <c r="D291" s="310">
        <v>2.85</v>
      </c>
      <c r="E291" s="310">
        <v>0</v>
      </c>
      <c r="F291" s="310">
        <v>1</v>
      </c>
      <c r="G291" s="310">
        <f t="shared" si="8"/>
        <v>0.37050000000000005</v>
      </c>
      <c r="H291" s="299"/>
      <c r="I291" s="298"/>
    </row>
    <row r="292" spans="2:9" s="13" customFormat="1" ht="15" customHeight="1">
      <c r="B292" s="511"/>
      <c r="C292" s="310">
        <v>0.66</v>
      </c>
      <c r="D292" s="310">
        <v>3.25</v>
      </c>
      <c r="E292" s="310">
        <v>0</v>
      </c>
      <c r="F292" s="310">
        <v>1</v>
      </c>
      <c r="G292" s="310">
        <f t="shared" si="8"/>
        <v>2.145</v>
      </c>
      <c r="H292" s="299"/>
      <c r="I292" s="298"/>
    </row>
    <row r="293" spans="2:9" s="13" customFormat="1" ht="15" customHeight="1">
      <c r="B293" s="511"/>
      <c r="C293" s="310">
        <v>1.61</v>
      </c>
      <c r="D293" s="310">
        <v>3.25</v>
      </c>
      <c r="E293" s="310">
        <f>(2.1*1.2)</f>
        <v>2.52</v>
      </c>
      <c r="F293" s="310">
        <v>1</v>
      </c>
      <c r="G293" s="310">
        <f t="shared" si="8"/>
        <v>2.7124999999999999</v>
      </c>
      <c r="H293" s="299"/>
      <c r="I293" s="298"/>
    </row>
    <row r="294" spans="2:9" s="13" customFormat="1">
      <c r="B294" s="511"/>
      <c r="C294" s="310">
        <v>8.26</v>
      </c>
      <c r="D294" s="310">
        <v>3.25</v>
      </c>
      <c r="E294" s="310">
        <f>(0.9*2.1)+2</f>
        <v>3.89</v>
      </c>
      <c r="F294" s="310">
        <v>1</v>
      </c>
      <c r="G294" s="310">
        <f t="shared" si="8"/>
        <v>22.954999999999998</v>
      </c>
      <c r="H294" s="299"/>
      <c r="I294" s="298"/>
    </row>
    <row r="295" spans="2:9" s="13" customFormat="1">
      <c r="B295" s="511"/>
      <c r="C295" s="310">
        <v>8.06</v>
      </c>
      <c r="D295" s="310">
        <v>3.25</v>
      </c>
      <c r="E295" s="310">
        <f>(0.5*2.25)*2</f>
        <v>2.25</v>
      </c>
      <c r="F295" s="310">
        <v>1</v>
      </c>
      <c r="G295" s="310">
        <f t="shared" si="8"/>
        <v>23.945</v>
      </c>
      <c r="H295" s="299"/>
      <c r="I295" s="298"/>
    </row>
    <row r="296" spans="2:9" s="13" customFormat="1">
      <c r="B296" s="511"/>
      <c r="C296" s="310">
        <v>0.21</v>
      </c>
      <c r="D296" s="310">
        <v>2.85</v>
      </c>
      <c r="E296" s="310">
        <v>0</v>
      </c>
      <c r="F296" s="310">
        <v>2</v>
      </c>
      <c r="G296" s="310">
        <f t="shared" si="8"/>
        <v>1.1970000000000001</v>
      </c>
      <c r="H296" s="299"/>
      <c r="I296" s="298"/>
    </row>
    <row r="297" spans="2:9" s="13" customFormat="1">
      <c r="B297" s="511"/>
      <c r="C297" s="310">
        <v>0.34</v>
      </c>
      <c r="D297" s="310">
        <v>3.25</v>
      </c>
      <c r="E297" s="310">
        <v>0</v>
      </c>
      <c r="F297" s="310">
        <v>2</v>
      </c>
      <c r="G297" s="310">
        <f t="shared" si="8"/>
        <v>2.21</v>
      </c>
      <c r="H297" s="299"/>
      <c r="I297" s="298"/>
    </row>
    <row r="298" spans="2:9" s="13" customFormat="1">
      <c r="B298" s="511"/>
      <c r="C298" s="310">
        <v>0.2</v>
      </c>
      <c r="D298" s="310">
        <v>2.85</v>
      </c>
      <c r="E298" s="310">
        <v>0</v>
      </c>
      <c r="F298" s="310">
        <v>2</v>
      </c>
      <c r="G298" s="310">
        <f t="shared" si="8"/>
        <v>1.1400000000000001</v>
      </c>
      <c r="H298" s="299"/>
      <c r="I298" s="298"/>
    </row>
    <row r="299" spans="2:9" s="13" customFormat="1">
      <c r="B299" s="511"/>
      <c r="C299" s="310">
        <v>0.33</v>
      </c>
      <c r="D299" s="310">
        <v>3.25</v>
      </c>
      <c r="E299" s="310">
        <v>0</v>
      </c>
      <c r="F299" s="310">
        <v>2</v>
      </c>
      <c r="G299" s="310">
        <f t="shared" si="8"/>
        <v>2.145</v>
      </c>
      <c r="H299" s="299"/>
      <c r="I299" s="298"/>
    </row>
    <row r="300" spans="2:9" s="13" customFormat="1">
      <c r="B300" s="511"/>
      <c r="C300" s="310">
        <v>0.19</v>
      </c>
      <c r="D300" s="310">
        <v>2.85</v>
      </c>
      <c r="E300" s="310">
        <v>0</v>
      </c>
      <c r="F300" s="310">
        <v>1</v>
      </c>
      <c r="G300" s="310">
        <f t="shared" si="8"/>
        <v>0.54149999999999998</v>
      </c>
      <c r="H300" s="299"/>
      <c r="I300" s="298"/>
    </row>
    <row r="301" spans="2:9" s="13" customFormat="1">
      <c r="B301" s="511"/>
      <c r="C301" s="310">
        <v>0.1</v>
      </c>
      <c r="D301" s="310">
        <v>3.25</v>
      </c>
      <c r="E301" s="310">
        <v>0</v>
      </c>
      <c r="F301" s="310">
        <v>2</v>
      </c>
      <c r="G301" s="310">
        <f t="shared" si="8"/>
        <v>0.65</v>
      </c>
      <c r="H301" s="299"/>
      <c r="I301" s="298"/>
    </row>
    <row r="302" spans="2:9" s="13" customFormat="1">
      <c r="B302" s="511"/>
      <c r="C302" s="310">
        <v>0.17</v>
      </c>
      <c r="D302" s="310">
        <v>3.25</v>
      </c>
      <c r="E302" s="310">
        <v>0</v>
      </c>
      <c r="F302" s="310">
        <v>1</v>
      </c>
      <c r="G302" s="310">
        <f t="shared" si="8"/>
        <v>0.55249999999999999</v>
      </c>
      <c r="H302" s="299"/>
      <c r="I302" s="298"/>
    </row>
    <row r="303" spans="2:9" s="13" customFormat="1">
      <c r="B303" s="511"/>
      <c r="C303" s="310">
        <v>2.0699999999999998</v>
      </c>
      <c r="D303" s="310">
        <v>3.25</v>
      </c>
      <c r="E303" s="310">
        <v>0</v>
      </c>
      <c r="F303" s="310">
        <v>1</v>
      </c>
      <c r="G303" s="310">
        <f t="shared" si="8"/>
        <v>6.7274999999999991</v>
      </c>
      <c r="H303" s="299"/>
      <c r="I303" s="298"/>
    </row>
    <row r="304" spans="2:9" s="13" customFormat="1">
      <c r="B304" s="511"/>
      <c r="C304" s="310">
        <v>1.23</v>
      </c>
      <c r="D304" s="310">
        <v>3.25</v>
      </c>
      <c r="E304" s="310">
        <v>0</v>
      </c>
      <c r="F304" s="310">
        <v>1</v>
      </c>
      <c r="G304" s="310">
        <f t="shared" si="8"/>
        <v>3.9975000000000001</v>
      </c>
      <c r="H304" s="299"/>
      <c r="I304" s="298"/>
    </row>
    <row r="305" spans="2:9" s="13" customFormat="1">
      <c r="B305" s="511"/>
      <c r="C305" s="310">
        <v>0.06</v>
      </c>
      <c r="D305" s="310">
        <v>3.25</v>
      </c>
      <c r="E305" s="310">
        <v>0</v>
      </c>
      <c r="F305" s="310">
        <v>1</v>
      </c>
      <c r="G305" s="310">
        <f t="shared" si="8"/>
        <v>0.19500000000000001</v>
      </c>
      <c r="H305" s="299"/>
      <c r="I305" s="298"/>
    </row>
    <row r="306" spans="2:9" s="13" customFormat="1">
      <c r="B306" s="510"/>
      <c r="C306" s="310">
        <v>0.43</v>
      </c>
      <c r="D306" s="310">
        <v>3.25</v>
      </c>
      <c r="E306" s="310">
        <v>0</v>
      </c>
      <c r="F306" s="310">
        <v>1</v>
      </c>
      <c r="G306" s="310">
        <f t="shared" si="8"/>
        <v>1.3975</v>
      </c>
      <c r="H306" s="299"/>
      <c r="I306" s="298"/>
    </row>
    <row r="307" spans="2:9" s="13" customFormat="1" ht="15" customHeight="1">
      <c r="B307" s="509" t="s">
        <v>131</v>
      </c>
      <c r="C307" s="310">
        <v>4.82</v>
      </c>
      <c r="D307" s="310">
        <v>3.25</v>
      </c>
      <c r="E307" s="310">
        <v>0</v>
      </c>
      <c r="F307" s="310">
        <v>1</v>
      </c>
      <c r="G307" s="310">
        <f t="shared" si="8"/>
        <v>15.665000000000001</v>
      </c>
      <c r="H307" s="299"/>
      <c r="I307" s="298"/>
    </row>
    <row r="308" spans="2:9" s="13" customFormat="1" ht="15" customHeight="1">
      <c r="B308" s="511"/>
      <c r="C308" s="310">
        <v>2.83</v>
      </c>
      <c r="D308" s="310">
        <v>3.25</v>
      </c>
      <c r="E308" s="310">
        <f>(0.9*2.1)*2</f>
        <v>3.7800000000000002</v>
      </c>
      <c r="F308" s="310">
        <v>1</v>
      </c>
      <c r="G308" s="310">
        <f t="shared" si="8"/>
        <v>5.4174999999999995</v>
      </c>
      <c r="H308" s="299"/>
      <c r="I308" s="298"/>
    </row>
    <row r="309" spans="2:9" s="13" customFormat="1" ht="15" customHeight="1">
      <c r="B309" s="511"/>
      <c r="C309" s="310">
        <v>0.37</v>
      </c>
      <c r="D309" s="310">
        <v>3.25</v>
      </c>
      <c r="E309" s="310">
        <v>0</v>
      </c>
      <c r="F309" s="310">
        <v>2</v>
      </c>
      <c r="G309" s="310">
        <f t="shared" si="8"/>
        <v>2.4049999999999998</v>
      </c>
      <c r="H309" s="299"/>
      <c r="I309" s="298"/>
    </row>
    <row r="310" spans="2:9" s="13" customFormat="1" ht="15" customHeight="1">
      <c r="B310" s="511"/>
      <c r="C310" s="310">
        <v>0.2</v>
      </c>
      <c r="D310" s="310">
        <v>2.85</v>
      </c>
      <c r="E310" s="310">
        <v>0</v>
      </c>
      <c r="F310" s="310">
        <v>2</v>
      </c>
      <c r="G310" s="310">
        <f t="shared" si="8"/>
        <v>1.1400000000000001</v>
      </c>
      <c r="H310" s="299"/>
      <c r="I310" s="298"/>
    </row>
    <row r="311" spans="2:9" s="13" customFormat="1" ht="15" customHeight="1">
      <c r="B311" s="511"/>
      <c r="C311" s="310">
        <v>0.22</v>
      </c>
      <c r="D311" s="310">
        <v>3.25</v>
      </c>
      <c r="E311" s="310">
        <v>0</v>
      </c>
      <c r="F311" s="310">
        <v>2</v>
      </c>
      <c r="G311" s="310">
        <f t="shared" si="8"/>
        <v>1.43</v>
      </c>
      <c r="H311" s="299"/>
      <c r="I311" s="298"/>
    </row>
    <row r="312" spans="2:9" s="13" customFormat="1">
      <c r="B312" s="511"/>
      <c r="C312" s="310">
        <v>0.99</v>
      </c>
      <c r="D312" s="310">
        <v>3.25</v>
      </c>
      <c r="E312" s="310">
        <v>0</v>
      </c>
      <c r="F312" s="310">
        <v>1</v>
      </c>
      <c r="G312" s="310">
        <f t="shared" si="8"/>
        <v>3.2174999999999998</v>
      </c>
      <c r="H312" s="299"/>
      <c r="I312" s="298"/>
    </row>
    <row r="313" spans="2:9" s="13" customFormat="1">
      <c r="B313" s="509" t="s">
        <v>134</v>
      </c>
      <c r="C313" s="310">
        <v>4.04</v>
      </c>
      <c r="D313" s="310">
        <v>3.25</v>
      </c>
      <c r="E313" s="310">
        <f>(0.9*2.1)+1</f>
        <v>2.89</v>
      </c>
      <c r="F313" s="310">
        <v>1</v>
      </c>
      <c r="G313" s="310">
        <f t="shared" ref="G313:G344" si="9">((C313*D313*F313)-E313)</f>
        <v>10.24</v>
      </c>
      <c r="H313" s="23"/>
      <c r="I313" s="298"/>
    </row>
    <row r="314" spans="2:9" s="13" customFormat="1">
      <c r="B314" s="511"/>
      <c r="C314" s="310">
        <v>3.58</v>
      </c>
      <c r="D314" s="310">
        <v>3.25</v>
      </c>
      <c r="E314" s="310">
        <v>0</v>
      </c>
      <c r="F314" s="310">
        <v>1</v>
      </c>
      <c r="G314" s="310">
        <f t="shared" si="9"/>
        <v>11.635</v>
      </c>
      <c r="H314" s="23"/>
      <c r="I314" s="298"/>
    </row>
    <row r="315" spans="2:9" s="13" customFormat="1">
      <c r="B315" s="511"/>
      <c r="C315" s="310">
        <v>1.51</v>
      </c>
      <c r="D315" s="310">
        <v>3.25</v>
      </c>
      <c r="E315" s="310">
        <v>0</v>
      </c>
      <c r="F315" s="310">
        <v>1</v>
      </c>
      <c r="G315" s="310">
        <f t="shared" si="9"/>
        <v>4.9074999999999998</v>
      </c>
      <c r="H315" s="23"/>
      <c r="I315" s="298"/>
    </row>
    <row r="316" spans="2:9" s="13" customFormat="1">
      <c r="B316" s="511"/>
      <c r="C316" s="310">
        <v>1.86</v>
      </c>
      <c r="D316" s="310">
        <v>3.25</v>
      </c>
      <c r="E316" s="310">
        <v>0</v>
      </c>
      <c r="F316" s="310">
        <v>1</v>
      </c>
      <c r="G316" s="310">
        <f t="shared" si="9"/>
        <v>6.0449999999999999</v>
      </c>
      <c r="H316" s="23"/>
      <c r="I316" s="298"/>
    </row>
    <row r="317" spans="2:9" s="13" customFormat="1">
      <c r="B317" s="511"/>
      <c r="C317" s="310">
        <v>0.19</v>
      </c>
      <c r="D317" s="310">
        <v>3.25</v>
      </c>
      <c r="E317" s="310">
        <v>0</v>
      </c>
      <c r="F317" s="310">
        <v>2</v>
      </c>
      <c r="G317" s="310">
        <f t="shared" si="9"/>
        <v>1.2350000000000001</v>
      </c>
      <c r="H317" s="23"/>
      <c r="I317" s="298"/>
    </row>
    <row r="318" spans="2:9" s="13" customFormat="1">
      <c r="B318" s="510"/>
      <c r="C318" s="310">
        <v>0.25</v>
      </c>
      <c r="D318" s="310">
        <v>3.25</v>
      </c>
      <c r="E318" s="310">
        <v>0</v>
      </c>
      <c r="F318" s="310">
        <v>1</v>
      </c>
      <c r="G318" s="310">
        <f t="shared" si="9"/>
        <v>0.8125</v>
      </c>
      <c r="H318" s="23"/>
      <c r="I318" s="298"/>
    </row>
    <row r="319" spans="2:9" s="13" customFormat="1">
      <c r="B319" s="509" t="s">
        <v>133</v>
      </c>
      <c r="C319" s="310">
        <v>4.04</v>
      </c>
      <c r="D319" s="310">
        <v>3.25</v>
      </c>
      <c r="E319" s="310">
        <f>(0.5*2)</f>
        <v>1</v>
      </c>
      <c r="F319" s="310">
        <v>1</v>
      </c>
      <c r="G319" s="310">
        <f t="shared" si="9"/>
        <v>12.13</v>
      </c>
      <c r="H319" s="23"/>
      <c r="I319" s="298"/>
    </row>
    <row r="320" spans="2:9" s="13" customFormat="1" ht="15" customHeight="1">
      <c r="B320" s="511"/>
      <c r="C320" s="303">
        <v>1.86</v>
      </c>
      <c r="D320" s="310">
        <v>3.25</v>
      </c>
      <c r="E320" s="303">
        <v>0</v>
      </c>
      <c r="F320" s="310">
        <v>1</v>
      </c>
      <c r="G320" s="303">
        <f t="shared" si="9"/>
        <v>6.0449999999999999</v>
      </c>
      <c r="H320" s="23"/>
      <c r="I320" s="298"/>
    </row>
    <row r="321" spans="2:9" s="13" customFormat="1" ht="15" customHeight="1">
      <c r="B321" s="511"/>
      <c r="C321" s="303">
        <v>1.57</v>
      </c>
      <c r="D321" s="310">
        <v>3.25</v>
      </c>
      <c r="E321" s="303">
        <v>0</v>
      </c>
      <c r="F321" s="310">
        <v>1</v>
      </c>
      <c r="G321" s="303">
        <f t="shared" si="9"/>
        <v>5.1025</v>
      </c>
      <c r="H321" s="23"/>
      <c r="I321" s="298"/>
    </row>
    <row r="322" spans="2:9" s="13" customFormat="1" ht="15" customHeight="1">
      <c r="B322" s="511"/>
      <c r="C322" s="303">
        <v>0.19</v>
      </c>
      <c r="D322" s="310">
        <v>2.85</v>
      </c>
      <c r="E322" s="303">
        <v>0</v>
      </c>
      <c r="F322" s="310">
        <v>1</v>
      </c>
      <c r="G322" s="303">
        <f t="shared" si="9"/>
        <v>0.54149999999999998</v>
      </c>
      <c r="H322" s="23"/>
      <c r="I322" s="298"/>
    </row>
    <row r="323" spans="2:9" s="13" customFormat="1" ht="15" customHeight="1">
      <c r="B323" s="510"/>
      <c r="C323" s="303">
        <v>0.2</v>
      </c>
      <c r="D323" s="303">
        <v>3.25</v>
      </c>
      <c r="E323" s="303">
        <v>0</v>
      </c>
      <c r="F323" s="310">
        <v>2</v>
      </c>
      <c r="G323" s="303">
        <f t="shared" si="9"/>
        <v>1.3</v>
      </c>
      <c r="H323" s="23"/>
      <c r="I323" s="298"/>
    </row>
    <row r="324" spans="2:9" s="13" customFormat="1" ht="15" customHeight="1">
      <c r="B324" s="509" t="s">
        <v>149</v>
      </c>
      <c r="C324" s="303">
        <v>4.3099999999999996</v>
      </c>
      <c r="D324" s="303">
        <v>2.89</v>
      </c>
      <c r="E324" s="303">
        <v>0</v>
      </c>
      <c r="F324" s="310">
        <v>1</v>
      </c>
      <c r="G324" s="303">
        <f t="shared" si="9"/>
        <v>12.4559</v>
      </c>
      <c r="H324" s="23"/>
      <c r="I324" s="298"/>
    </row>
    <row r="325" spans="2:9" s="13" customFormat="1" ht="15" customHeight="1">
      <c r="B325" s="511"/>
      <c r="C325" s="303">
        <v>4.8099999999999996</v>
      </c>
      <c r="D325" s="303">
        <v>2.89</v>
      </c>
      <c r="E325" s="303">
        <f>(1.2*1.2)</f>
        <v>1.44</v>
      </c>
      <c r="F325" s="310">
        <v>1</v>
      </c>
      <c r="G325" s="303">
        <f t="shared" si="9"/>
        <v>12.460900000000001</v>
      </c>
      <c r="H325" s="23"/>
      <c r="I325" s="298"/>
    </row>
    <row r="326" spans="2:9" s="13" customFormat="1" ht="15" customHeight="1">
      <c r="B326" s="511"/>
      <c r="C326" s="303">
        <v>0.13</v>
      </c>
      <c r="D326" s="303">
        <v>2.89</v>
      </c>
      <c r="E326" s="303">
        <v>0</v>
      </c>
      <c r="F326" s="310">
        <v>2</v>
      </c>
      <c r="G326" s="303">
        <f t="shared" si="9"/>
        <v>0.75140000000000007</v>
      </c>
      <c r="H326" s="23"/>
      <c r="I326" s="298"/>
    </row>
    <row r="327" spans="2:9" s="13" customFormat="1" ht="15" customHeight="1">
      <c r="B327" s="511"/>
      <c r="C327" s="303">
        <v>4.79</v>
      </c>
      <c r="D327" s="303">
        <v>0.35</v>
      </c>
      <c r="E327" s="303">
        <f>0.8*0.18</f>
        <v>0.14399999999999999</v>
      </c>
      <c r="F327" s="310">
        <v>1</v>
      </c>
      <c r="G327" s="303">
        <f t="shared" si="9"/>
        <v>1.5325</v>
      </c>
      <c r="H327" s="23"/>
      <c r="I327" s="298"/>
    </row>
    <row r="328" spans="2:9" s="13" customFormat="1" ht="15" customHeight="1">
      <c r="B328" s="511"/>
      <c r="C328" s="303">
        <v>0.35</v>
      </c>
      <c r="D328" s="303">
        <v>2.1</v>
      </c>
      <c r="E328" s="303">
        <v>0</v>
      </c>
      <c r="F328" s="310">
        <v>1</v>
      </c>
      <c r="G328" s="303">
        <f t="shared" si="9"/>
        <v>0.73499999999999999</v>
      </c>
      <c r="H328" s="23"/>
      <c r="I328" s="298"/>
    </row>
    <row r="329" spans="2:9" s="13" customFormat="1" ht="15" customHeight="1">
      <c r="B329" s="511"/>
      <c r="C329" s="303">
        <v>0.54</v>
      </c>
      <c r="D329" s="303">
        <v>0.36</v>
      </c>
      <c r="E329" s="303">
        <v>0</v>
      </c>
      <c r="F329" s="310">
        <v>1</v>
      </c>
      <c r="G329" s="303">
        <f t="shared" si="9"/>
        <v>0.19440000000000002</v>
      </c>
      <c r="H329" s="23"/>
      <c r="I329" s="298"/>
    </row>
    <row r="330" spans="2:9" s="13" customFormat="1" ht="15" customHeight="1">
      <c r="B330" s="511"/>
      <c r="C330" s="303">
        <v>2.95</v>
      </c>
      <c r="D330" s="303">
        <v>2.89</v>
      </c>
      <c r="E330" s="303">
        <v>0</v>
      </c>
      <c r="F330" s="310">
        <v>2</v>
      </c>
      <c r="G330" s="303">
        <f t="shared" si="9"/>
        <v>17.051000000000002</v>
      </c>
      <c r="H330" s="23"/>
      <c r="I330" s="298"/>
    </row>
    <row r="331" spans="2:9" s="13" customFormat="1" ht="15" customHeight="1">
      <c r="B331" s="509" t="s">
        <v>132</v>
      </c>
      <c r="C331" s="303">
        <v>0.35</v>
      </c>
      <c r="D331" s="303">
        <v>2.1</v>
      </c>
      <c r="E331" s="303">
        <v>0</v>
      </c>
      <c r="F331" s="310">
        <v>1</v>
      </c>
      <c r="G331" s="303">
        <f t="shared" si="9"/>
        <v>0.73499999999999999</v>
      </c>
      <c r="H331" s="23"/>
      <c r="I331" s="298"/>
    </row>
    <row r="332" spans="2:9" s="13" customFormat="1" ht="15" customHeight="1">
      <c r="B332" s="511"/>
      <c r="C332" s="303">
        <v>0.54</v>
      </c>
      <c r="D332" s="303">
        <v>0.36</v>
      </c>
      <c r="E332" s="303">
        <v>0</v>
      </c>
      <c r="F332" s="310">
        <v>1</v>
      </c>
      <c r="G332" s="303">
        <f t="shared" si="9"/>
        <v>0.19440000000000002</v>
      </c>
      <c r="H332" s="23"/>
      <c r="I332" s="298"/>
    </row>
    <row r="333" spans="2:9" s="13" customFormat="1" ht="15" customHeight="1">
      <c r="B333" s="509" t="s">
        <v>138</v>
      </c>
      <c r="C333" s="303">
        <v>2.68</v>
      </c>
      <c r="D333" s="310">
        <v>3.25</v>
      </c>
      <c r="E333" s="303">
        <f>(0.9*2.1)</f>
        <v>1.8900000000000001</v>
      </c>
      <c r="F333" s="310">
        <v>1</v>
      </c>
      <c r="G333" s="303">
        <f t="shared" si="9"/>
        <v>6.82</v>
      </c>
      <c r="H333" s="23"/>
      <c r="I333" s="298"/>
    </row>
    <row r="334" spans="2:9" s="13" customFormat="1" ht="15" customHeight="1">
      <c r="B334" s="511"/>
      <c r="C334" s="303">
        <v>1.26</v>
      </c>
      <c r="D334" s="310">
        <v>3.25</v>
      </c>
      <c r="E334" s="303">
        <v>0</v>
      </c>
      <c r="F334" s="310">
        <v>1</v>
      </c>
      <c r="G334" s="303">
        <f t="shared" si="9"/>
        <v>4.0949999999999998</v>
      </c>
      <c r="H334" s="23"/>
      <c r="I334" s="298"/>
    </row>
    <row r="335" spans="2:9" s="13" customFormat="1" ht="15" customHeight="1">
      <c r="B335" s="511"/>
      <c r="C335" s="303">
        <v>0.68</v>
      </c>
      <c r="D335" s="310">
        <v>3.25</v>
      </c>
      <c r="E335" s="303">
        <v>0</v>
      </c>
      <c r="F335" s="310">
        <v>1</v>
      </c>
      <c r="G335" s="303">
        <f t="shared" si="9"/>
        <v>2.21</v>
      </c>
      <c r="H335" s="23"/>
      <c r="I335" s="298"/>
    </row>
    <row r="336" spans="2:9" s="13" customFormat="1" ht="15" customHeight="1">
      <c r="B336" s="511"/>
      <c r="C336" s="303">
        <v>1.52</v>
      </c>
      <c r="D336" s="310">
        <v>3.25</v>
      </c>
      <c r="E336" s="303">
        <f>(1.2*2.1)</f>
        <v>2.52</v>
      </c>
      <c r="F336" s="310">
        <v>1</v>
      </c>
      <c r="G336" s="303">
        <f t="shared" si="9"/>
        <v>2.4200000000000004</v>
      </c>
      <c r="H336" s="23"/>
      <c r="I336" s="298"/>
    </row>
    <row r="337" spans="2:9" s="13" customFormat="1" ht="15" customHeight="1">
      <c r="B337" s="511"/>
      <c r="C337" s="303">
        <v>0.7</v>
      </c>
      <c r="D337" s="310">
        <v>3.25</v>
      </c>
      <c r="E337" s="303">
        <v>0</v>
      </c>
      <c r="F337" s="310">
        <v>1</v>
      </c>
      <c r="G337" s="303">
        <f t="shared" si="9"/>
        <v>2.2749999999999999</v>
      </c>
      <c r="H337" s="23"/>
      <c r="I337" s="298"/>
    </row>
    <row r="338" spans="2:9" s="13" customFormat="1" ht="15" customHeight="1">
      <c r="B338" s="511"/>
      <c r="C338" s="303">
        <v>1.52</v>
      </c>
      <c r="D338" s="310">
        <v>0.4</v>
      </c>
      <c r="E338" s="303">
        <v>0</v>
      </c>
      <c r="F338" s="310">
        <v>1</v>
      </c>
      <c r="G338" s="303">
        <f t="shared" si="9"/>
        <v>0.6080000000000001</v>
      </c>
      <c r="H338" s="519" t="s">
        <v>277</v>
      </c>
      <c r="I338" s="298"/>
    </row>
    <row r="339" spans="2:9" s="13" customFormat="1" ht="15" customHeight="1">
      <c r="B339" s="511"/>
      <c r="C339" s="303">
        <v>1.52</v>
      </c>
      <c r="D339" s="310">
        <v>0.16</v>
      </c>
      <c r="E339" s="303">
        <v>0</v>
      </c>
      <c r="F339" s="310">
        <v>1</v>
      </c>
      <c r="G339" s="303">
        <f t="shared" si="9"/>
        <v>0.2432</v>
      </c>
      <c r="H339" s="543"/>
      <c r="I339" s="298"/>
    </row>
    <row r="340" spans="2:9" s="13" customFormat="1" ht="15" customHeight="1">
      <c r="B340" s="511"/>
      <c r="C340" s="303">
        <v>8.8699999999999992</v>
      </c>
      <c r="D340" s="310">
        <v>0.15</v>
      </c>
      <c r="E340" s="303">
        <v>0</v>
      </c>
      <c r="F340" s="310">
        <v>1</v>
      </c>
      <c r="G340" s="303">
        <f t="shared" si="9"/>
        <v>1.3304999999999998</v>
      </c>
      <c r="H340" s="543"/>
      <c r="I340" s="298"/>
    </row>
    <row r="341" spans="2:9" s="13" customFormat="1" ht="15" customHeight="1">
      <c r="B341" s="511"/>
      <c r="C341" s="303">
        <v>8.8699999999999992</v>
      </c>
      <c r="D341" s="310">
        <v>0.4</v>
      </c>
      <c r="E341" s="303">
        <v>0</v>
      </c>
      <c r="F341" s="310">
        <v>1</v>
      </c>
      <c r="G341" s="303">
        <f t="shared" si="9"/>
        <v>3.548</v>
      </c>
      <c r="H341" s="520"/>
      <c r="I341" s="298"/>
    </row>
    <row r="342" spans="2:9" s="13" customFormat="1" ht="15" customHeight="1">
      <c r="B342" s="511"/>
      <c r="C342" s="303">
        <v>2.89</v>
      </c>
      <c r="D342" s="310">
        <v>3.25</v>
      </c>
      <c r="E342" s="303">
        <v>0</v>
      </c>
      <c r="F342" s="310">
        <v>1</v>
      </c>
      <c r="G342" s="303">
        <f t="shared" si="9"/>
        <v>9.3925000000000001</v>
      </c>
      <c r="H342" s="23"/>
      <c r="I342" s="298"/>
    </row>
    <row r="343" spans="2:9" s="13" customFormat="1">
      <c r="B343" s="512" t="s">
        <v>202</v>
      </c>
      <c r="C343" s="303">
        <v>2.57</v>
      </c>
      <c r="D343" s="310">
        <v>3.25</v>
      </c>
      <c r="E343" s="303">
        <f>(0.9*2.1)</f>
        <v>1.8900000000000001</v>
      </c>
      <c r="F343" s="310">
        <v>2</v>
      </c>
      <c r="G343" s="303">
        <f t="shared" si="9"/>
        <v>14.814999999999998</v>
      </c>
      <c r="H343" s="23"/>
      <c r="I343" s="298"/>
    </row>
    <row r="344" spans="2:9" s="13" customFormat="1">
      <c r="B344" s="512"/>
      <c r="C344" s="303">
        <v>2.74</v>
      </c>
      <c r="D344" s="310">
        <v>3.25</v>
      </c>
      <c r="E344" s="303">
        <f>(1.2*1.2)</f>
        <v>1.44</v>
      </c>
      <c r="F344" s="310">
        <v>2</v>
      </c>
      <c r="G344" s="303">
        <f t="shared" si="9"/>
        <v>16.37</v>
      </c>
      <c r="H344" s="23"/>
      <c r="I344" s="298"/>
    </row>
    <row r="345" spans="2:9" s="13" customFormat="1">
      <c r="B345" s="302" t="s">
        <v>164</v>
      </c>
      <c r="C345" s="303">
        <v>0.2</v>
      </c>
      <c r="D345" s="310">
        <v>2.1</v>
      </c>
      <c r="E345" s="303">
        <v>0</v>
      </c>
      <c r="F345" s="310">
        <v>1</v>
      </c>
      <c r="G345" s="303">
        <f t="shared" ref="G345" si="10">((C345*D345*F345)-E345)</f>
        <v>0.42000000000000004</v>
      </c>
      <c r="H345" s="23"/>
      <c r="I345" s="298"/>
    </row>
    <row r="346" spans="2:9" s="13" customFormat="1">
      <c r="B346" s="336"/>
      <c r="C346" s="325"/>
      <c r="D346" s="325"/>
      <c r="E346" s="325"/>
      <c r="F346" s="325"/>
      <c r="G346" s="316">
        <f>SUM(G289:G345)</f>
        <v>299.00320000000005</v>
      </c>
      <c r="H346" s="305" t="s">
        <v>161</v>
      </c>
      <c r="I346" s="298"/>
    </row>
    <row r="347" spans="2:9" s="13" customFormat="1">
      <c r="B347" s="341"/>
      <c r="C347" s="341"/>
      <c r="D347" s="308"/>
      <c r="E347" s="309"/>
      <c r="F347" s="325"/>
      <c r="G347" s="325"/>
      <c r="H347" s="23"/>
      <c r="I347" s="298"/>
    </row>
    <row r="348" spans="2:9">
      <c r="C348" s="337" t="s">
        <v>208</v>
      </c>
      <c r="D348" s="338"/>
      <c r="E348" s="298"/>
      <c r="F348" s="298"/>
      <c r="G348" s="298"/>
      <c r="H348" s="299"/>
    </row>
    <row r="349" spans="2:9">
      <c r="B349" s="23"/>
      <c r="C349" s="301" t="s">
        <v>127</v>
      </c>
      <c r="D349" s="301" t="s">
        <v>162</v>
      </c>
      <c r="E349" s="23"/>
      <c r="F349" s="23"/>
      <c r="G349" s="23"/>
      <c r="H349" s="23"/>
    </row>
    <row r="350" spans="2:9">
      <c r="B350" s="23"/>
      <c r="C350" s="507" t="s">
        <v>225</v>
      </c>
      <c r="D350" s="310">
        <v>0.52</v>
      </c>
      <c r="E350" s="23"/>
      <c r="F350" s="23"/>
      <c r="G350" s="23"/>
      <c r="H350" s="23"/>
    </row>
    <row r="351" spans="2:9">
      <c r="B351" s="23"/>
      <c r="C351" s="508"/>
      <c r="D351" s="310">
        <v>1.18</v>
      </c>
      <c r="E351" s="23"/>
      <c r="F351" s="23"/>
      <c r="G351" s="23"/>
      <c r="H351" s="23"/>
    </row>
    <row r="352" spans="2:9">
      <c r="B352" s="23"/>
      <c r="C352" s="23"/>
      <c r="D352" s="304">
        <f>SUM(D350:D351)</f>
        <v>1.7</v>
      </c>
      <c r="E352" s="305" t="s">
        <v>90</v>
      </c>
      <c r="F352" s="23"/>
      <c r="G352" s="23"/>
      <c r="H352" s="23"/>
    </row>
    <row r="353" spans="2:11" s="13" customFormat="1" ht="15" customHeight="1">
      <c r="B353" s="329"/>
      <c r="C353" s="321"/>
      <c r="D353" s="321"/>
      <c r="E353" s="321"/>
      <c r="F353" s="321"/>
      <c r="G353" s="321"/>
      <c r="H353" s="299"/>
      <c r="I353" s="298"/>
    </row>
    <row r="354" spans="2:11" s="13" customFormat="1" ht="15" customHeight="1">
      <c r="B354" s="329"/>
      <c r="C354" s="321"/>
      <c r="D354" s="330" t="s">
        <v>226</v>
      </c>
      <c r="E354" s="331">
        <f xml:space="preserve"> D352+G346</f>
        <v>300.70320000000004</v>
      </c>
      <c r="F354" s="305" t="s">
        <v>90</v>
      </c>
      <c r="G354" s="321"/>
      <c r="H354" s="299"/>
      <c r="I354" s="298"/>
    </row>
    <row r="355" spans="2:11" s="13" customFormat="1" ht="15" customHeight="1">
      <c r="B355" s="329"/>
      <c r="C355" s="321"/>
      <c r="D355" s="297"/>
      <c r="E355" s="297"/>
      <c r="F355" s="297"/>
      <c r="G355" s="321"/>
      <c r="H355" s="299"/>
      <c r="I355" s="298"/>
    </row>
    <row r="356" spans="2:11" s="26" customFormat="1" ht="18.75">
      <c r="B356" s="25" t="s">
        <v>324</v>
      </c>
      <c r="C356" s="27"/>
      <c r="D356" s="27"/>
      <c r="E356" s="27"/>
      <c r="F356" s="27"/>
      <c r="G356" s="27"/>
      <c r="H356" s="27"/>
    </row>
    <row r="357" spans="2:11">
      <c r="B357" s="297"/>
      <c r="C357" s="298"/>
      <c r="D357" s="298"/>
      <c r="E357" s="298"/>
      <c r="F357" s="298"/>
      <c r="G357" s="298"/>
      <c r="H357" s="298"/>
    </row>
    <row r="358" spans="2:11" ht="18.75" customHeight="1">
      <c r="B358" s="523" t="s">
        <v>325</v>
      </c>
      <c r="C358" s="523"/>
      <c r="D358" s="523"/>
      <c r="E358" s="523"/>
      <c r="F358" s="523"/>
      <c r="G358" s="523"/>
      <c r="H358" s="523"/>
    </row>
    <row r="359" spans="2:11">
      <c r="B359" s="299"/>
      <c r="C359" s="298"/>
      <c r="D359" s="298"/>
      <c r="E359" s="298"/>
      <c r="F359" s="298"/>
      <c r="G359" s="298"/>
      <c r="H359" s="298"/>
    </row>
    <row r="360" spans="2:11">
      <c r="C360" s="540" t="s">
        <v>208</v>
      </c>
      <c r="D360" s="542"/>
      <c r="E360" s="298"/>
      <c r="F360" s="298"/>
      <c r="G360" s="298"/>
      <c r="H360" s="299"/>
    </row>
    <row r="361" spans="2:11">
      <c r="B361" s="23"/>
      <c r="C361" s="301" t="s">
        <v>127</v>
      </c>
      <c r="D361" s="301" t="s">
        <v>162</v>
      </c>
      <c r="E361" s="23"/>
      <c r="F361" s="23"/>
      <c r="G361" s="23"/>
      <c r="H361" s="23"/>
    </row>
    <row r="362" spans="2:11">
      <c r="B362" s="23"/>
      <c r="C362" s="302" t="s">
        <v>208</v>
      </c>
      <c r="D362" s="342">
        <v>1.42</v>
      </c>
      <c r="E362" s="23"/>
      <c r="F362" s="23"/>
      <c r="G362" s="23"/>
      <c r="H362" s="23"/>
    </row>
    <row r="363" spans="2:11">
      <c r="B363" s="23"/>
      <c r="C363" s="23"/>
      <c r="D363" s="316">
        <f>SUM(D362:D362)</f>
        <v>1.42</v>
      </c>
      <c r="E363" s="305" t="s">
        <v>300</v>
      </c>
      <c r="F363" s="23"/>
      <c r="G363" s="23"/>
      <c r="H363" s="23"/>
    </row>
    <row r="364" spans="2:11" s="13" customFormat="1" ht="15" customHeight="1">
      <c r="B364" s="329"/>
      <c r="C364" s="321"/>
      <c r="D364" s="321"/>
      <c r="E364" s="321"/>
      <c r="F364" s="321"/>
      <c r="G364" s="321"/>
      <c r="H364" s="299"/>
      <c r="I364" s="298"/>
    </row>
    <row r="365" spans="2:11" s="26" customFormat="1" ht="18.75">
      <c r="B365" s="25" t="s">
        <v>326</v>
      </c>
      <c r="C365" s="25"/>
      <c r="D365" s="25"/>
      <c r="E365" s="25"/>
      <c r="F365" s="25"/>
      <c r="G365" s="25"/>
      <c r="H365" s="25"/>
    </row>
    <row r="366" spans="2:11" s="26" customFormat="1" ht="18.75">
      <c r="B366" s="299"/>
      <c r="C366" s="299"/>
      <c r="D366" s="299"/>
      <c r="E366" s="299"/>
      <c r="F366" s="299"/>
      <c r="G366" s="299"/>
      <c r="H366" s="299"/>
      <c r="I366" s="300"/>
    </row>
    <row r="367" spans="2:11" ht="30" customHeight="1">
      <c r="B367" s="513" t="s">
        <v>327</v>
      </c>
      <c r="C367" s="514"/>
      <c r="D367" s="514"/>
      <c r="E367" s="514"/>
      <c r="F367" s="514"/>
      <c r="G367" s="514"/>
      <c r="H367" s="514"/>
      <c r="I367" s="514"/>
      <c r="J367" s="32"/>
      <c r="K367" s="32"/>
    </row>
    <row r="368" spans="2:11" ht="19.5" customHeight="1">
      <c r="B368" s="23"/>
      <c r="C368" s="334"/>
      <c r="D368" s="334"/>
      <c r="E368" s="334"/>
      <c r="F368" s="334"/>
      <c r="G368" s="334"/>
      <c r="H368" s="334"/>
      <c r="I368" s="334"/>
      <c r="J368" s="32"/>
      <c r="K368" s="32"/>
    </row>
    <row r="369" spans="2:11">
      <c r="B369" s="23"/>
      <c r="C369" s="301" t="s">
        <v>127</v>
      </c>
      <c r="D369" s="301" t="s">
        <v>162</v>
      </c>
      <c r="E369" s="23"/>
      <c r="F369" s="23"/>
      <c r="G369" s="23"/>
      <c r="H369" s="23"/>
    </row>
    <row r="370" spans="2:11">
      <c r="B370" s="23"/>
      <c r="C370" s="301" t="s">
        <v>130</v>
      </c>
      <c r="D370" s="310">
        <v>77.33</v>
      </c>
      <c r="E370" s="23"/>
      <c r="F370" s="23"/>
      <c r="G370" s="23"/>
      <c r="H370" s="23"/>
    </row>
    <row r="371" spans="2:11">
      <c r="B371" s="23"/>
      <c r="C371" s="301" t="s">
        <v>131</v>
      </c>
      <c r="D371" s="310">
        <v>28.97</v>
      </c>
      <c r="E371" s="23"/>
      <c r="F371" s="23"/>
      <c r="G371" s="23"/>
      <c r="H371" s="23"/>
    </row>
    <row r="372" spans="2:11" ht="31.5">
      <c r="B372" s="23"/>
      <c r="C372" s="302" t="s">
        <v>132</v>
      </c>
      <c r="D372" s="303">
        <v>11.89</v>
      </c>
      <c r="E372" s="23"/>
      <c r="F372" s="23"/>
      <c r="G372" s="23"/>
      <c r="H372" s="23"/>
    </row>
    <row r="373" spans="2:11">
      <c r="B373" s="23"/>
      <c r="C373" s="302" t="s">
        <v>133</v>
      </c>
      <c r="D373" s="303">
        <v>14.11</v>
      </c>
      <c r="E373" s="23"/>
      <c r="F373" s="23"/>
      <c r="G373" s="23"/>
      <c r="H373" s="23"/>
    </row>
    <row r="374" spans="2:11">
      <c r="B374" s="23"/>
      <c r="C374" s="302" t="s">
        <v>134</v>
      </c>
      <c r="D374" s="310">
        <v>14.12</v>
      </c>
      <c r="E374" s="23"/>
      <c r="F374" s="23"/>
      <c r="G374" s="23"/>
      <c r="H374" s="23"/>
    </row>
    <row r="375" spans="2:11">
      <c r="B375" s="23"/>
      <c r="C375" s="302" t="s">
        <v>202</v>
      </c>
      <c r="D375" s="310">
        <v>6.89</v>
      </c>
      <c r="E375" s="23"/>
      <c r="F375" s="23"/>
      <c r="G375" s="23"/>
      <c r="H375" s="23"/>
    </row>
    <row r="376" spans="2:11">
      <c r="B376" s="23"/>
      <c r="C376" s="23"/>
      <c r="D376" s="304">
        <f>SUM(D370:D375)</f>
        <v>153.31</v>
      </c>
      <c r="E376" s="305" t="s">
        <v>90</v>
      </c>
      <c r="F376" s="23"/>
      <c r="G376" s="23"/>
      <c r="H376" s="23"/>
    </row>
    <row r="377" spans="2:11">
      <c r="B377" s="298"/>
      <c r="C377" s="298"/>
      <c r="D377" s="298"/>
      <c r="E377" s="298"/>
      <c r="F377" s="298"/>
      <c r="G377" s="298"/>
      <c r="H377" s="298"/>
    </row>
    <row r="378" spans="2:11" ht="18.75" customHeight="1">
      <c r="B378" s="515" t="s">
        <v>373</v>
      </c>
      <c r="C378" s="516"/>
      <c r="D378" s="516"/>
      <c r="E378" s="516"/>
      <c r="F378" s="516"/>
      <c r="G378" s="516"/>
      <c r="H378" s="516"/>
      <c r="I378" s="516"/>
      <c r="J378" s="35"/>
      <c r="K378" s="35"/>
    </row>
    <row r="379" spans="2:11" ht="19.5" customHeight="1">
      <c r="B379" s="23"/>
      <c r="C379" s="334"/>
      <c r="D379" s="334"/>
      <c r="E379" s="334"/>
      <c r="F379" s="334"/>
      <c r="G379" s="334"/>
      <c r="H379" s="334"/>
      <c r="I379" s="334"/>
      <c r="J379" s="32"/>
      <c r="K379" s="32"/>
    </row>
    <row r="380" spans="2:11">
      <c r="C380" s="540" t="s">
        <v>224</v>
      </c>
      <c r="D380" s="542"/>
      <c r="E380" s="298"/>
      <c r="F380" s="298"/>
      <c r="G380" s="298"/>
      <c r="H380" s="299"/>
    </row>
    <row r="381" spans="2:11" ht="53.25" customHeight="1">
      <c r="B381" s="23"/>
      <c r="C381" s="302" t="s">
        <v>229</v>
      </c>
      <c r="D381" s="335">
        <v>8.3000000000000007</v>
      </c>
      <c r="E381" s="23"/>
      <c r="F381" s="23"/>
      <c r="G381" s="23"/>
      <c r="H381" s="23"/>
    </row>
    <row r="382" spans="2:11">
      <c r="B382" s="23"/>
      <c r="C382" s="301" t="s">
        <v>149</v>
      </c>
      <c r="D382" s="301">
        <v>20.21</v>
      </c>
      <c r="E382" s="23"/>
      <c r="F382" s="23"/>
      <c r="G382" s="23"/>
      <c r="H382" s="23"/>
    </row>
    <row r="383" spans="2:11">
      <c r="B383" s="23"/>
      <c r="C383" s="301" t="s">
        <v>138</v>
      </c>
      <c r="D383" s="310">
        <v>17.71</v>
      </c>
      <c r="E383" s="23"/>
      <c r="F383" s="23"/>
      <c r="G383" s="23"/>
      <c r="H383" s="23"/>
    </row>
    <row r="384" spans="2:11">
      <c r="B384" s="23"/>
      <c r="C384" s="302" t="s">
        <v>137</v>
      </c>
      <c r="D384" s="310">
        <v>3.44</v>
      </c>
      <c r="E384" s="23"/>
      <c r="F384" s="23"/>
      <c r="G384" s="23"/>
      <c r="H384" s="23"/>
    </row>
    <row r="385" spans="2:11">
      <c r="B385" s="23"/>
      <c r="C385" s="302" t="s">
        <v>136</v>
      </c>
      <c r="D385" s="310">
        <v>3.44</v>
      </c>
      <c r="E385" s="23"/>
      <c r="F385" s="23"/>
      <c r="G385" s="23"/>
      <c r="H385" s="23"/>
    </row>
    <row r="386" spans="2:11">
      <c r="B386" s="23"/>
      <c r="C386" s="302" t="s">
        <v>165</v>
      </c>
      <c r="D386" s="310">
        <v>9.19</v>
      </c>
      <c r="E386" s="23"/>
      <c r="F386" s="23"/>
      <c r="G386" s="23"/>
      <c r="H386" s="23"/>
    </row>
    <row r="387" spans="2:11">
      <c r="B387" s="23"/>
      <c r="C387" s="23"/>
      <c r="D387" s="304">
        <f>SUM(D381:D386)</f>
        <v>62.289999999999992</v>
      </c>
      <c r="E387" s="305" t="s">
        <v>90</v>
      </c>
      <c r="F387" s="23"/>
      <c r="G387" s="23"/>
      <c r="H387" s="23"/>
    </row>
    <row r="388" spans="2:11">
      <c r="B388" s="298"/>
      <c r="C388" s="298"/>
      <c r="D388" s="298"/>
      <c r="E388" s="298"/>
      <c r="F388" s="298"/>
      <c r="G388" s="298"/>
      <c r="H388" s="298"/>
    </row>
    <row r="389" spans="2:11">
      <c r="C389" s="540" t="s">
        <v>208</v>
      </c>
      <c r="D389" s="542"/>
      <c r="E389" s="298"/>
      <c r="F389" s="298"/>
      <c r="G389" s="298"/>
      <c r="H389" s="299"/>
    </row>
    <row r="390" spans="2:11">
      <c r="B390" s="23"/>
      <c r="C390" s="301" t="s">
        <v>127</v>
      </c>
      <c r="D390" s="301" t="s">
        <v>162</v>
      </c>
      <c r="E390" s="23"/>
      <c r="F390" s="23"/>
      <c r="G390" s="23"/>
      <c r="H390" s="23"/>
    </row>
    <row r="391" spans="2:11">
      <c r="B391" s="23"/>
      <c r="C391" s="343" t="s">
        <v>139</v>
      </c>
      <c r="D391" s="310">
        <v>4.5629999999999997</v>
      </c>
      <c r="E391" s="23"/>
      <c r="F391" s="23"/>
      <c r="G391" s="23"/>
      <c r="H391" s="23"/>
    </row>
    <row r="392" spans="2:11">
      <c r="B392" s="23"/>
      <c r="C392" s="343" t="s">
        <v>232</v>
      </c>
      <c r="D392" s="310">
        <v>2.44</v>
      </c>
      <c r="E392" s="23"/>
      <c r="F392" s="23"/>
      <c r="G392" s="23"/>
      <c r="H392" s="23"/>
    </row>
    <row r="393" spans="2:11" ht="29.25" customHeight="1">
      <c r="B393" s="23"/>
      <c r="C393" s="335" t="s">
        <v>230</v>
      </c>
      <c r="D393" s="310">
        <v>2.57</v>
      </c>
      <c r="E393" s="23"/>
      <c r="F393" s="23"/>
      <c r="G393" s="23"/>
      <c r="H393" s="23"/>
    </row>
    <row r="394" spans="2:11">
      <c r="B394" s="23"/>
      <c r="C394" s="23"/>
      <c r="D394" s="304">
        <f>SUM(D391:D393)</f>
        <v>9.5730000000000004</v>
      </c>
      <c r="E394" s="305" t="s">
        <v>90</v>
      </c>
      <c r="F394" s="23"/>
      <c r="G394" s="23"/>
      <c r="H394" s="23"/>
    </row>
    <row r="395" spans="2:11" s="13" customFormat="1" ht="15" customHeight="1">
      <c r="B395" s="329"/>
      <c r="C395" s="321"/>
      <c r="D395" s="321"/>
      <c r="E395" s="321"/>
      <c r="F395" s="321"/>
      <c r="G395" s="321"/>
      <c r="H395" s="299"/>
      <c r="I395" s="298"/>
    </row>
    <row r="396" spans="2:11" s="13" customFormat="1" ht="15" customHeight="1">
      <c r="B396" s="329"/>
      <c r="C396" s="321"/>
      <c r="D396" s="330" t="s">
        <v>226</v>
      </c>
      <c r="E396" s="331">
        <f xml:space="preserve"> D394+D387</f>
        <v>71.863</v>
      </c>
      <c r="F396" s="305" t="s">
        <v>90</v>
      </c>
      <c r="G396" s="321"/>
      <c r="H396" s="299"/>
      <c r="I396" s="298"/>
    </row>
    <row r="397" spans="2:11" s="13" customFormat="1" ht="15" customHeight="1">
      <c r="B397" s="329"/>
      <c r="C397" s="321"/>
      <c r="D397" s="297"/>
      <c r="E397" s="297"/>
      <c r="F397" s="297"/>
      <c r="G397" s="321"/>
      <c r="H397" s="299"/>
      <c r="I397" s="298"/>
    </row>
    <row r="398" spans="2:11" ht="33" customHeight="1">
      <c r="B398" s="517" t="s">
        <v>374</v>
      </c>
      <c r="C398" s="518"/>
      <c r="D398" s="518"/>
      <c r="E398" s="518"/>
      <c r="F398" s="518"/>
      <c r="G398" s="518"/>
      <c r="H398" s="518"/>
      <c r="I398" s="518"/>
      <c r="J398" s="32"/>
      <c r="K398" s="32"/>
    </row>
    <row r="399" spans="2:11" ht="19.5" customHeight="1">
      <c r="B399" s="23"/>
      <c r="C399" s="334"/>
      <c r="D399" s="334"/>
      <c r="E399" s="334"/>
      <c r="F399" s="334"/>
      <c r="G399" s="334"/>
      <c r="H399" s="334"/>
      <c r="I399" s="334"/>
      <c r="J399" s="32"/>
      <c r="K399" s="32"/>
    </row>
    <row r="400" spans="2:11">
      <c r="B400" s="23"/>
      <c r="C400" s="301" t="s">
        <v>127</v>
      </c>
      <c r="D400" s="301" t="s">
        <v>162</v>
      </c>
      <c r="E400" s="23"/>
      <c r="F400" s="23"/>
      <c r="G400" s="23"/>
      <c r="H400" s="23"/>
    </row>
    <row r="401" spans="2:11">
      <c r="B401" s="23"/>
      <c r="C401" s="343" t="s">
        <v>139</v>
      </c>
      <c r="D401" s="310">
        <v>4.5629999999999997</v>
      </c>
      <c r="E401" s="23"/>
      <c r="F401" s="23"/>
      <c r="G401" s="23"/>
      <c r="H401" s="23"/>
    </row>
    <row r="402" spans="2:11">
      <c r="B402" s="23"/>
      <c r="C402" s="343" t="s">
        <v>232</v>
      </c>
      <c r="D402" s="310">
        <v>2.44</v>
      </c>
      <c r="E402" s="23"/>
      <c r="F402" s="23"/>
      <c r="G402" s="23"/>
      <c r="H402" s="23"/>
    </row>
    <row r="403" spans="2:11">
      <c r="B403" s="23"/>
      <c r="C403" s="344"/>
      <c r="D403" s="304">
        <f>SUM(D401:D402)</f>
        <v>7.0030000000000001</v>
      </c>
      <c r="E403" s="305" t="s">
        <v>90</v>
      </c>
      <c r="F403" s="23"/>
      <c r="G403" s="23"/>
      <c r="H403" s="23"/>
    </row>
    <row r="404" spans="2:11" s="13" customFormat="1" ht="15" customHeight="1">
      <c r="B404" s="329"/>
      <c r="C404" s="321"/>
      <c r="D404" s="321"/>
      <c r="E404" s="321"/>
      <c r="F404" s="321"/>
      <c r="G404" s="321"/>
      <c r="H404" s="299"/>
      <c r="I404" s="298"/>
    </row>
    <row r="405" spans="2:11" ht="21" customHeight="1">
      <c r="B405" s="523" t="s">
        <v>375</v>
      </c>
      <c r="C405" s="524"/>
      <c r="D405" s="524"/>
      <c r="E405" s="524"/>
      <c r="F405" s="524"/>
      <c r="G405" s="524"/>
      <c r="H405" s="524"/>
      <c r="I405" s="524"/>
      <c r="J405" s="32"/>
      <c r="K405" s="32"/>
    </row>
    <row r="406" spans="2:11" ht="19.5" customHeight="1">
      <c r="B406" s="23"/>
      <c r="C406" s="334"/>
      <c r="D406" s="334"/>
      <c r="E406" s="334"/>
      <c r="F406" s="334"/>
      <c r="G406" s="334"/>
      <c r="H406" s="334"/>
      <c r="I406" s="334"/>
      <c r="J406" s="32"/>
      <c r="K406" s="32"/>
    </row>
    <row r="407" spans="2:11">
      <c r="B407" s="23"/>
      <c r="C407" s="301" t="s">
        <v>127</v>
      </c>
      <c r="D407" s="301" t="s">
        <v>162</v>
      </c>
      <c r="E407" s="23"/>
      <c r="F407" s="23"/>
      <c r="G407" s="23"/>
      <c r="H407" s="23"/>
    </row>
    <row r="408" spans="2:11">
      <c r="B408" s="23"/>
      <c r="C408" s="335" t="s">
        <v>230</v>
      </c>
      <c r="D408" s="310">
        <v>2.57</v>
      </c>
      <c r="E408" s="23"/>
      <c r="F408" s="23"/>
      <c r="G408" s="23"/>
      <c r="H408" s="23"/>
    </row>
    <row r="409" spans="2:11">
      <c r="B409" s="23"/>
      <c r="C409" s="23"/>
      <c r="D409" s="304">
        <f>SUM(D408:D408)</f>
        <v>2.57</v>
      </c>
      <c r="E409" s="305" t="s">
        <v>90</v>
      </c>
      <c r="F409" s="23"/>
      <c r="G409" s="23"/>
      <c r="H409" s="23"/>
    </row>
    <row r="410" spans="2:11" s="13" customFormat="1" ht="15" customHeight="1">
      <c r="B410" s="329"/>
      <c r="C410" s="321"/>
      <c r="D410" s="321"/>
      <c r="E410" s="321"/>
      <c r="F410" s="321"/>
      <c r="G410" s="321"/>
      <c r="H410" s="299"/>
      <c r="I410" s="298"/>
    </row>
    <row r="411" spans="2:11" s="26" customFormat="1" ht="18.75">
      <c r="B411" s="25" t="s">
        <v>376</v>
      </c>
      <c r="C411" s="25"/>
      <c r="D411" s="25"/>
      <c r="E411" s="28"/>
      <c r="F411" s="28"/>
      <c r="G411" s="28"/>
      <c r="H411" s="28"/>
    </row>
    <row r="412" spans="2:11">
      <c r="B412" s="23"/>
      <c r="C412" s="23"/>
      <c r="D412" s="346"/>
      <c r="E412" s="297"/>
      <c r="F412" s="23"/>
      <c r="G412" s="23"/>
      <c r="H412" s="23"/>
    </row>
    <row r="413" spans="2:11">
      <c r="B413" s="524" t="s">
        <v>503</v>
      </c>
      <c r="C413" s="524"/>
      <c r="D413" s="524"/>
      <c r="E413" s="524"/>
      <c r="F413" s="524"/>
      <c r="G413" s="524"/>
      <c r="H413" s="299"/>
    </row>
    <row r="414" spans="2:11">
      <c r="B414" s="23"/>
      <c r="C414" s="23"/>
      <c r="D414" s="23"/>
      <c r="E414" s="23"/>
      <c r="F414" s="23"/>
      <c r="G414" s="23"/>
      <c r="H414" s="23"/>
    </row>
    <row r="415" spans="2:11">
      <c r="B415" s="23"/>
      <c r="C415" s="301" t="s">
        <v>127</v>
      </c>
      <c r="D415" s="301" t="s">
        <v>162</v>
      </c>
      <c r="E415" s="23"/>
      <c r="F415" s="23"/>
      <c r="G415" s="23"/>
      <c r="H415" s="23"/>
    </row>
    <row r="416" spans="2:11">
      <c r="B416" s="23"/>
      <c r="C416" s="301" t="s">
        <v>130</v>
      </c>
      <c r="D416" s="310">
        <v>78.239999999999995</v>
      </c>
      <c r="E416" s="303" t="s">
        <v>206</v>
      </c>
      <c r="F416" s="23"/>
      <c r="G416" s="23"/>
      <c r="H416" s="23"/>
    </row>
    <row r="417" spans="2:17">
      <c r="B417" s="23"/>
      <c r="C417" s="301" t="s">
        <v>131</v>
      </c>
      <c r="D417" s="310">
        <v>30.17</v>
      </c>
      <c r="E417" s="347"/>
      <c r="F417" s="348"/>
      <c r="G417" s="23"/>
      <c r="H417" s="23"/>
    </row>
    <row r="418" spans="2:17">
      <c r="B418" s="23"/>
      <c r="C418" s="302" t="s">
        <v>149</v>
      </c>
      <c r="D418" s="310">
        <v>22.33</v>
      </c>
      <c r="E418" s="303" t="s">
        <v>206</v>
      </c>
      <c r="F418" s="23"/>
      <c r="G418" s="23"/>
      <c r="H418" s="23"/>
    </row>
    <row r="419" spans="2:17" ht="31.5">
      <c r="B419" s="23"/>
      <c r="C419" s="302" t="s">
        <v>132</v>
      </c>
      <c r="D419" s="349">
        <v>21.77</v>
      </c>
      <c r="E419" s="303" t="s">
        <v>206</v>
      </c>
      <c r="F419" s="23"/>
      <c r="G419" s="23"/>
      <c r="H419" s="23"/>
    </row>
    <row r="420" spans="2:17">
      <c r="B420" s="23"/>
      <c r="C420" s="302" t="s">
        <v>133</v>
      </c>
      <c r="D420" s="310">
        <v>14.89</v>
      </c>
      <c r="E420" s="23"/>
      <c r="F420" s="23"/>
      <c r="G420" s="23"/>
      <c r="H420" s="23"/>
    </row>
    <row r="421" spans="2:17">
      <c r="B421" s="23"/>
      <c r="C421" s="302" t="s">
        <v>134</v>
      </c>
      <c r="D421" s="310">
        <v>14.86</v>
      </c>
      <c r="E421" s="23"/>
      <c r="F421" s="23"/>
      <c r="G421" s="23"/>
      <c r="H421" s="23"/>
    </row>
    <row r="422" spans="2:17">
      <c r="B422" s="23"/>
      <c r="C422" s="302" t="s">
        <v>137</v>
      </c>
      <c r="D422" s="310">
        <v>3.81</v>
      </c>
      <c r="E422" s="23"/>
      <c r="F422" s="23"/>
      <c r="G422" s="23"/>
      <c r="H422" s="23"/>
    </row>
    <row r="423" spans="2:17">
      <c r="B423" s="23"/>
      <c r="C423" s="302" t="s">
        <v>136</v>
      </c>
      <c r="D423" s="310">
        <v>3.81</v>
      </c>
      <c r="E423" s="23"/>
      <c r="F423" s="23"/>
      <c r="G423" s="23"/>
      <c r="H423" s="23"/>
    </row>
    <row r="424" spans="2:17">
      <c r="B424" s="23"/>
      <c r="C424" s="23"/>
      <c r="D424" s="304">
        <f>SUM(D416:D423)</f>
        <v>189.88000000000005</v>
      </c>
      <c r="E424" s="305" t="s">
        <v>90</v>
      </c>
      <c r="F424" s="23"/>
      <c r="G424" s="23"/>
      <c r="H424" s="23"/>
    </row>
    <row r="425" spans="2:17">
      <c r="B425" s="23"/>
      <c r="C425" s="23"/>
      <c r="D425" s="346"/>
      <c r="E425" s="297"/>
      <c r="F425" s="23"/>
      <c r="G425" s="23"/>
      <c r="H425" s="23"/>
    </row>
    <row r="426" spans="2:17" s="26" customFormat="1" ht="18.75">
      <c r="B426" s="25" t="s">
        <v>377</v>
      </c>
      <c r="C426" s="25"/>
      <c r="D426" s="25"/>
      <c r="E426" s="28"/>
      <c r="F426" s="28"/>
      <c r="G426" s="28"/>
      <c r="H426" s="28"/>
    </row>
    <row r="427" spans="2:17" s="26" customFormat="1" ht="18.75">
      <c r="B427" s="297"/>
      <c r="C427" s="297"/>
      <c r="D427" s="297"/>
      <c r="E427" s="345"/>
      <c r="F427" s="345"/>
      <c r="G427" s="345"/>
      <c r="H427" s="345"/>
      <c r="I427" s="300"/>
    </row>
    <row r="428" spans="2:17" ht="18" customHeight="1">
      <c r="B428" s="523" t="s">
        <v>378</v>
      </c>
      <c r="C428" s="523"/>
      <c r="D428" s="523"/>
      <c r="E428" s="523"/>
      <c r="F428" s="523"/>
      <c r="G428" s="523"/>
      <c r="H428" s="523"/>
    </row>
    <row r="429" spans="2:17">
      <c r="B429" s="23"/>
      <c r="C429" s="350"/>
      <c r="D429" s="346"/>
      <c r="E429" s="297"/>
      <c r="F429" s="23"/>
      <c r="G429" s="23"/>
      <c r="H429" s="23"/>
    </row>
    <row r="430" spans="2:17" s="13" customFormat="1">
      <c r="B430" s="298"/>
      <c r="C430" s="533" t="s">
        <v>142</v>
      </c>
      <c r="D430" s="534"/>
      <c r="E430" s="298"/>
      <c r="F430" s="298"/>
      <c r="G430" s="298"/>
      <c r="H430" s="298"/>
      <c r="I430" s="298"/>
    </row>
    <row r="431" spans="2:17" s="26" customFormat="1" ht="18.75">
      <c r="B431" s="297"/>
      <c r="C431" s="297"/>
      <c r="D431" s="297"/>
      <c r="E431" s="345"/>
      <c r="F431" s="345"/>
      <c r="G431" s="345"/>
      <c r="H431" s="345"/>
      <c r="I431" s="300"/>
    </row>
    <row r="432" spans="2:17" s="26" customFormat="1" ht="18.75">
      <c r="B432" s="25" t="s">
        <v>379</v>
      </c>
      <c r="C432" s="25"/>
      <c r="D432" s="25"/>
      <c r="E432" s="25"/>
      <c r="F432" s="25"/>
      <c r="G432" s="25"/>
      <c r="H432" s="25"/>
      <c r="P432" s="26">
        <v>21.99</v>
      </c>
      <c r="Q432" s="26">
        <v>18.079999999999998</v>
      </c>
    </row>
    <row r="433" spans="2:19">
      <c r="B433" s="299"/>
      <c r="C433" s="299"/>
      <c r="D433" s="299"/>
      <c r="E433" s="299"/>
      <c r="F433" s="299"/>
      <c r="G433" s="299"/>
      <c r="H433" s="299"/>
    </row>
    <row r="434" spans="2:19" ht="15.75" customHeight="1">
      <c r="B434" s="523" t="s">
        <v>380</v>
      </c>
      <c r="C434" s="524"/>
      <c r="D434" s="524"/>
      <c r="E434" s="524"/>
      <c r="F434" s="524"/>
      <c r="G434" s="524"/>
      <c r="H434" s="524"/>
      <c r="I434" s="524"/>
      <c r="J434" s="32"/>
      <c r="K434" s="32"/>
    </row>
    <row r="435" spans="2:19">
      <c r="B435" s="299"/>
      <c r="C435" s="299"/>
      <c r="D435" s="299"/>
      <c r="E435" s="299"/>
      <c r="F435" s="299"/>
      <c r="G435" s="299"/>
      <c r="H435" s="299"/>
    </row>
    <row r="436" spans="2:19">
      <c r="B436" s="23"/>
      <c r="C436" s="301" t="s">
        <v>127</v>
      </c>
      <c r="D436" s="301" t="s">
        <v>162</v>
      </c>
      <c r="E436" s="23"/>
      <c r="F436" s="23"/>
      <c r="G436" s="23"/>
      <c r="H436" s="23"/>
      <c r="O436">
        <f>2.3*0.15</f>
        <v>0.34499999999999997</v>
      </c>
    </row>
    <row r="437" spans="2:19">
      <c r="B437" s="23"/>
      <c r="C437" s="301" t="s">
        <v>130</v>
      </c>
      <c r="D437" s="310">
        <v>78.239999999999995</v>
      </c>
      <c r="E437" s="303" t="s">
        <v>207</v>
      </c>
      <c r="F437" s="23"/>
      <c r="G437" s="23"/>
      <c r="H437" s="23"/>
      <c r="M437">
        <v>1.0994999999999999</v>
      </c>
      <c r="Q437">
        <f>0.15*0.15*2</f>
        <v>4.4999999999999998E-2</v>
      </c>
    </row>
    <row r="438" spans="2:19">
      <c r="B438" s="23"/>
      <c r="C438" s="301" t="s">
        <v>131</v>
      </c>
      <c r="D438" s="310">
        <v>30.17</v>
      </c>
      <c r="E438" s="347"/>
      <c r="F438" s="348"/>
      <c r="G438" s="23"/>
      <c r="H438" s="23"/>
      <c r="O438">
        <f>2*O436</f>
        <v>0.69</v>
      </c>
      <c r="R438">
        <f>4*Q437</f>
        <v>0.18</v>
      </c>
    </row>
    <row r="439" spans="2:19">
      <c r="B439" s="23"/>
      <c r="C439" s="302" t="s">
        <v>149</v>
      </c>
      <c r="D439" s="310">
        <v>22.33</v>
      </c>
      <c r="E439" s="303" t="s">
        <v>206</v>
      </c>
      <c r="F439" s="23"/>
      <c r="G439" s="23"/>
      <c r="H439" s="23"/>
      <c r="L439">
        <f>M437+S442</f>
        <v>2.9144999999999994</v>
      </c>
    </row>
    <row r="440" spans="2:19" ht="31.5">
      <c r="B440" s="23"/>
      <c r="C440" s="302" t="s">
        <v>132</v>
      </c>
      <c r="D440" s="349">
        <v>21.77</v>
      </c>
      <c r="E440" s="303" t="s">
        <v>206</v>
      </c>
      <c r="F440" s="23"/>
      <c r="G440" s="23"/>
      <c r="H440" s="23"/>
      <c r="L440">
        <f>75.33+L439</f>
        <v>78.244500000000002</v>
      </c>
      <c r="O440">
        <f>O438+R438</f>
        <v>0.86999999999999988</v>
      </c>
    </row>
    <row r="441" spans="2:19">
      <c r="B441" s="23"/>
      <c r="C441" s="302" t="s">
        <v>133</v>
      </c>
      <c r="D441" s="310">
        <v>14.89</v>
      </c>
      <c r="E441" s="23"/>
      <c r="F441" s="23"/>
      <c r="G441" s="23"/>
      <c r="H441" s="23"/>
    </row>
    <row r="442" spans="2:19">
      <c r="B442" s="23"/>
      <c r="C442" s="302" t="s">
        <v>134</v>
      </c>
      <c r="D442" s="310">
        <v>14.86</v>
      </c>
      <c r="E442" s="23"/>
      <c r="F442" s="23"/>
      <c r="G442" s="23"/>
      <c r="H442" s="23"/>
      <c r="S442">
        <f>O440+Q445</f>
        <v>1.8149999999999997</v>
      </c>
    </row>
    <row r="443" spans="2:19">
      <c r="B443" s="23"/>
      <c r="C443" s="302" t="s">
        <v>137</v>
      </c>
      <c r="D443" s="310">
        <v>3.81</v>
      </c>
      <c r="E443" s="23"/>
      <c r="F443" s="23"/>
      <c r="G443" s="23"/>
      <c r="H443" s="23"/>
      <c r="O443">
        <f>2.55*0.15</f>
        <v>0.38249999999999995</v>
      </c>
    </row>
    <row r="444" spans="2:19">
      <c r="B444" s="23"/>
      <c r="C444" s="302" t="s">
        <v>136</v>
      </c>
      <c r="D444" s="310">
        <v>3.81</v>
      </c>
      <c r="E444" s="23"/>
      <c r="F444" s="23"/>
      <c r="G444" s="23"/>
      <c r="H444" s="23"/>
      <c r="O444">
        <f>2*O443</f>
        <v>0.7649999999999999</v>
      </c>
    </row>
    <row r="445" spans="2:19">
      <c r="B445" s="23"/>
      <c r="C445" s="23"/>
      <c r="D445" s="304">
        <f>SUM(D437:D444)</f>
        <v>189.88000000000005</v>
      </c>
      <c r="E445" s="305" t="s">
        <v>90</v>
      </c>
      <c r="F445" s="23"/>
      <c r="G445" s="23"/>
      <c r="H445" s="23"/>
      <c r="Q445">
        <f>O444+R438</f>
        <v>0.94499999999999984</v>
      </c>
    </row>
    <row r="446" spans="2:19" ht="19.5" customHeight="1">
      <c r="B446" s="336"/>
      <c r="C446" s="325"/>
      <c r="D446" s="23"/>
      <c r="E446" s="23"/>
      <c r="F446" s="23" t="s">
        <v>69</v>
      </c>
      <c r="G446" s="23"/>
      <c r="H446" s="23"/>
    </row>
    <row r="447" spans="2:19" ht="21" customHeight="1">
      <c r="B447" s="515" t="s">
        <v>381</v>
      </c>
      <c r="C447" s="516"/>
      <c r="D447" s="516"/>
      <c r="E447" s="516"/>
      <c r="F447" s="516"/>
      <c r="G447" s="516"/>
      <c r="H447" s="516"/>
      <c r="I447" s="516"/>
      <c r="J447" s="35"/>
      <c r="K447" s="35"/>
    </row>
    <row r="448" spans="2:19">
      <c r="B448" s="299"/>
      <c r="C448" s="299"/>
      <c r="D448" s="299"/>
      <c r="E448" s="299"/>
      <c r="F448" s="299"/>
      <c r="G448" s="299"/>
      <c r="H448" s="299"/>
    </row>
    <row r="449" spans="2:14">
      <c r="B449" s="535" t="s">
        <v>126</v>
      </c>
      <c r="C449" s="536"/>
      <c r="D449" s="536"/>
      <c r="E449" s="536"/>
      <c r="F449" s="536"/>
      <c r="G449" s="537"/>
      <c r="H449" s="298"/>
    </row>
    <row r="450" spans="2:14">
      <c r="B450" s="301" t="s">
        <v>127</v>
      </c>
      <c r="C450" s="301" t="s">
        <v>120</v>
      </c>
      <c r="D450" s="301" t="s">
        <v>122</v>
      </c>
      <c r="E450" s="301" t="s">
        <v>124</v>
      </c>
      <c r="F450" s="301" t="s">
        <v>125</v>
      </c>
      <c r="G450" s="301" t="s">
        <v>123</v>
      </c>
      <c r="H450" s="298"/>
    </row>
    <row r="451" spans="2:14" ht="15" customHeight="1">
      <c r="B451" s="343" t="s">
        <v>135</v>
      </c>
      <c r="C451" s="310">
        <v>2.7</v>
      </c>
      <c r="D451" s="310">
        <v>1</v>
      </c>
      <c r="E451" s="310">
        <v>2.5499999999999998</v>
      </c>
      <c r="F451" s="310">
        <v>1</v>
      </c>
      <c r="G451" s="310">
        <f>C451*D451*E451*F451</f>
        <v>6.8849999999999998</v>
      </c>
      <c r="H451" s="298"/>
    </row>
    <row r="452" spans="2:14" ht="15" customHeight="1">
      <c r="B452" s="507" t="s">
        <v>138</v>
      </c>
      <c r="C452" s="310">
        <v>0.52</v>
      </c>
      <c r="D452" s="310">
        <v>1</v>
      </c>
      <c r="E452" s="310">
        <v>1.48</v>
      </c>
      <c r="F452" s="310">
        <v>1</v>
      </c>
      <c r="G452" s="310">
        <f>C452*D452*E452*F452</f>
        <v>0.76960000000000006</v>
      </c>
      <c r="H452" s="298"/>
      <c r="N452" s="34"/>
    </row>
    <row r="453" spans="2:14" ht="15" customHeight="1">
      <c r="B453" s="508"/>
      <c r="C453" s="310">
        <v>2.89</v>
      </c>
      <c r="D453" s="310">
        <v>1</v>
      </c>
      <c r="E453" s="310">
        <v>6.17</v>
      </c>
      <c r="F453" s="310">
        <v>1</v>
      </c>
      <c r="G453" s="310">
        <f>C453*D453*E453*F453</f>
        <v>17.831299999999999</v>
      </c>
      <c r="H453" s="298"/>
    </row>
    <row r="454" spans="2:14">
      <c r="B454" s="530"/>
      <c r="C454" s="530"/>
      <c r="D454" s="530"/>
      <c r="E454" s="351"/>
      <c r="F454" s="352"/>
      <c r="G454" s="316">
        <f>SUM(G451:G453)-E454</f>
        <v>25.485900000000001</v>
      </c>
      <c r="H454" s="305" t="s">
        <v>90</v>
      </c>
    </row>
    <row r="455" spans="2:14">
      <c r="B455" s="336"/>
      <c r="C455" s="325"/>
      <c r="D455" s="23"/>
      <c r="E455" s="348"/>
      <c r="F455" s="348" t="s">
        <v>69</v>
      </c>
      <c r="G455" s="23"/>
      <c r="H455" s="23"/>
    </row>
    <row r="456" spans="2:14" ht="24" customHeight="1">
      <c r="B456" s="523" t="s">
        <v>382</v>
      </c>
      <c r="C456" s="524"/>
      <c r="D456" s="524"/>
      <c r="E456" s="524"/>
      <c r="F456" s="524"/>
      <c r="G456" s="524"/>
      <c r="H456" s="524"/>
      <c r="I456" s="524"/>
      <c r="J456" s="32"/>
      <c r="K456" s="32"/>
    </row>
    <row r="457" spans="2:14">
      <c r="B457" s="336"/>
      <c r="C457" s="325"/>
      <c r="D457" s="23"/>
      <c r="E457" s="23"/>
      <c r="F457" s="23" t="s">
        <v>69</v>
      </c>
      <c r="G457" s="23"/>
      <c r="H457" s="23"/>
    </row>
    <row r="458" spans="2:14" s="13" customFormat="1">
      <c r="B458" s="301" t="s">
        <v>127</v>
      </c>
      <c r="C458" s="301" t="s">
        <v>159</v>
      </c>
      <c r="D458" s="317" t="s">
        <v>121</v>
      </c>
      <c r="E458" s="301" t="s">
        <v>160</v>
      </c>
      <c r="F458" s="301" t="s">
        <v>125</v>
      </c>
      <c r="G458" s="301" t="s">
        <v>123</v>
      </c>
      <c r="H458" s="299"/>
      <c r="I458" s="298"/>
    </row>
    <row r="459" spans="2:14" s="13" customFormat="1" ht="15" customHeight="1">
      <c r="B459" s="509" t="s">
        <v>130</v>
      </c>
      <c r="C459" s="310">
        <v>5.18</v>
      </c>
      <c r="D459" s="310">
        <v>2.67</v>
      </c>
      <c r="E459" s="310">
        <v>0</v>
      </c>
      <c r="F459" s="310">
        <v>1</v>
      </c>
      <c r="G459" s="310">
        <f>((C459*D459)*F459)-E459</f>
        <v>13.830599999999999</v>
      </c>
      <c r="H459" s="299"/>
      <c r="I459" s="298"/>
    </row>
    <row r="460" spans="2:14" s="13" customFormat="1" ht="15" customHeight="1">
      <c r="B460" s="511"/>
      <c r="C460" s="310">
        <v>1.44</v>
      </c>
      <c r="D460" s="310">
        <v>2.67</v>
      </c>
      <c r="E460" s="310">
        <v>0</v>
      </c>
      <c r="F460" s="310">
        <v>2</v>
      </c>
      <c r="G460" s="310">
        <f>((C460*D460)*F460)-E460</f>
        <v>7.6895999999999995</v>
      </c>
      <c r="H460" s="299"/>
      <c r="I460" s="298"/>
    </row>
    <row r="461" spans="2:14" s="13" customFormat="1">
      <c r="B461" s="511"/>
      <c r="C461" s="310">
        <v>0.13</v>
      </c>
      <c r="D461" s="310">
        <v>2.67</v>
      </c>
      <c r="E461" s="310">
        <v>0</v>
      </c>
      <c r="F461" s="310">
        <v>1</v>
      </c>
      <c r="G461" s="310">
        <f>((C461*D461)*F461)-E461</f>
        <v>0.34710000000000002</v>
      </c>
      <c r="H461" s="299"/>
      <c r="I461" s="298"/>
    </row>
    <row r="462" spans="2:14" s="13" customFormat="1" ht="15" customHeight="1">
      <c r="B462" s="511"/>
      <c r="C462" s="310">
        <v>0.66</v>
      </c>
      <c r="D462" s="310">
        <v>2.67</v>
      </c>
      <c r="E462" s="310">
        <v>0</v>
      </c>
      <c r="F462" s="310">
        <v>1</v>
      </c>
      <c r="G462" s="310">
        <f>((C462*D462)*F462)-E462</f>
        <v>1.7622</v>
      </c>
      <c r="H462" s="299"/>
      <c r="I462" s="298"/>
    </row>
    <row r="463" spans="2:14" s="13" customFormat="1" ht="15.75" customHeight="1">
      <c r="B463" s="511"/>
      <c r="C463" s="310">
        <v>1.61</v>
      </c>
      <c r="D463" s="310">
        <v>2.67</v>
      </c>
      <c r="E463" s="310">
        <f>(2.1*1.2)</f>
        <v>2.52</v>
      </c>
      <c r="F463" s="310">
        <v>1</v>
      </c>
      <c r="G463" s="310">
        <f>((C463*D463)*F463)-E463</f>
        <v>1.7787000000000002</v>
      </c>
      <c r="H463" s="299"/>
      <c r="I463" s="298"/>
    </row>
    <row r="464" spans="2:14" s="13" customFormat="1" ht="14.25" customHeight="1">
      <c r="B464" s="511"/>
      <c r="C464" s="310">
        <v>8.26</v>
      </c>
      <c r="D464" s="310">
        <v>2.67</v>
      </c>
      <c r="E464" s="310">
        <f>(0.9*2.1)+2</f>
        <v>3.89</v>
      </c>
      <c r="F464" s="310">
        <v>1</v>
      </c>
      <c r="G464" s="310">
        <f>((C464*D464)*F464)-E464+0.69</f>
        <v>18.854199999999999</v>
      </c>
      <c r="H464" s="303" t="s">
        <v>207</v>
      </c>
      <c r="I464" s="298"/>
    </row>
    <row r="465" spans="2:9" s="13" customFormat="1" ht="14.25" customHeight="1">
      <c r="B465" s="511"/>
      <c r="C465" s="310">
        <v>8.0399999999999991</v>
      </c>
      <c r="D465" s="310">
        <v>2.67</v>
      </c>
      <c r="E465" s="310">
        <f>(0.5*2.25)*2</f>
        <v>2.25</v>
      </c>
      <c r="F465" s="310">
        <v>1</v>
      </c>
      <c r="G465" s="310">
        <f>((C465*D465)*F465)-E465+0.765</f>
        <v>19.981799999999996</v>
      </c>
      <c r="H465" s="303" t="s">
        <v>207</v>
      </c>
      <c r="I465" s="298"/>
    </row>
    <row r="466" spans="2:9" s="13" customFormat="1">
      <c r="B466" s="511"/>
      <c r="C466" s="310">
        <v>0.21</v>
      </c>
      <c r="D466" s="310">
        <v>2.67</v>
      </c>
      <c r="E466" s="310">
        <v>0</v>
      </c>
      <c r="F466" s="310">
        <v>2</v>
      </c>
      <c r="G466" s="310">
        <f t="shared" ref="G466:G484" si="11">((C466*D466)*F466)-E466</f>
        <v>1.1214</v>
      </c>
      <c r="H466" s="299"/>
      <c r="I466" s="298"/>
    </row>
    <row r="467" spans="2:9" s="13" customFormat="1">
      <c r="B467" s="511"/>
      <c r="C467" s="310">
        <v>0.34</v>
      </c>
      <c r="D467" s="310">
        <v>2.67</v>
      </c>
      <c r="E467" s="310">
        <v>0</v>
      </c>
      <c r="F467" s="310">
        <v>2</v>
      </c>
      <c r="G467" s="310">
        <f t="shared" si="11"/>
        <v>1.8156000000000001</v>
      </c>
      <c r="H467" s="299"/>
      <c r="I467" s="298"/>
    </row>
    <row r="468" spans="2:9" s="13" customFormat="1">
      <c r="B468" s="511"/>
      <c r="C468" s="310">
        <v>0.2</v>
      </c>
      <c r="D468" s="310">
        <v>2.67</v>
      </c>
      <c r="E468" s="310">
        <v>0</v>
      </c>
      <c r="F468" s="310">
        <v>2</v>
      </c>
      <c r="G468" s="310">
        <f t="shared" si="11"/>
        <v>1.0680000000000001</v>
      </c>
      <c r="H468" s="299"/>
      <c r="I468" s="298"/>
    </row>
    <row r="469" spans="2:9" s="13" customFormat="1">
      <c r="B469" s="511"/>
      <c r="C469" s="310">
        <v>0.33</v>
      </c>
      <c r="D469" s="310">
        <v>2.67</v>
      </c>
      <c r="E469" s="310">
        <v>0</v>
      </c>
      <c r="F469" s="310">
        <v>2</v>
      </c>
      <c r="G469" s="310">
        <f t="shared" si="11"/>
        <v>1.7622</v>
      </c>
      <c r="H469" s="299"/>
      <c r="I469" s="298"/>
    </row>
    <row r="470" spans="2:9" s="13" customFormat="1">
      <c r="B470" s="511"/>
      <c r="C470" s="310">
        <v>0.19</v>
      </c>
      <c r="D470" s="310">
        <v>2.67</v>
      </c>
      <c r="E470" s="310">
        <v>0</v>
      </c>
      <c r="F470" s="310">
        <v>1</v>
      </c>
      <c r="G470" s="310">
        <f t="shared" si="11"/>
        <v>0.50729999999999997</v>
      </c>
      <c r="H470" s="299"/>
      <c r="I470" s="298"/>
    </row>
    <row r="471" spans="2:9" s="13" customFormat="1">
      <c r="B471" s="511"/>
      <c r="C471" s="310">
        <v>0.1</v>
      </c>
      <c r="D471" s="310">
        <v>2.67</v>
      </c>
      <c r="E471" s="310">
        <v>0</v>
      </c>
      <c r="F471" s="310">
        <v>2</v>
      </c>
      <c r="G471" s="310">
        <f t="shared" si="11"/>
        <v>0.53400000000000003</v>
      </c>
      <c r="H471" s="299"/>
      <c r="I471" s="298"/>
    </row>
    <row r="472" spans="2:9" s="13" customFormat="1">
      <c r="B472" s="511"/>
      <c r="C472" s="310">
        <v>0.17</v>
      </c>
      <c r="D472" s="310">
        <v>2.67</v>
      </c>
      <c r="E472" s="310">
        <v>0</v>
      </c>
      <c r="F472" s="310">
        <v>1</v>
      </c>
      <c r="G472" s="310">
        <f t="shared" si="11"/>
        <v>0.45390000000000003</v>
      </c>
      <c r="H472" s="299"/>
      <c r="I472" s="298"/>
    </row>
    <row r="473" spans="2:9" s="13" customFormat="1">
      <c r="B473" s="511"/>
      <c r="C473" s="310">
        <v>2.0699999999999998</v>
      </c>
      <c r="D473" s="310">
        <v>2.67</v>
      </c>
      <c r="E473" s="310">
        <v>0</v>
      </c>
      <c r="F473" s="310">
        <v>1</v>
      </c>
      <c r="G473" s="310">
        <f t="shared" si="11"/>
        <v>5.5268999999999995</v>
      </c>
      <c r="H473" s="299"/>
      <c r="I473" s="298"/>
    </row>
    <row r="474" spans="2:9" s="13" customFormat="1">
      <c r="B474" s="511"/>
      <c r="C474" s="310">
        <v>1.23</v>
      </c>
      <c r="D474" s="310">
        <v>2.67</v>
      </c>
      <c r="E474" s="310">
        <v>0</v>
      </c>
      <c r="F474" s="310">
        <v>1</v>
      </c>
      <c r="G474" s="310">
        <f t="shared" si="11"/>
        <v>3.2841</v>
      </c>
      <c r="H474" s="299"/>
      <c r="I474" s="298"/>
    </row>
    <row r="475" spans="2:9" s="13" customFormat="1">
      <c r="B475" s="511"/>
      <c r="C475" s="310">
        <v>0.06</v>
      </c>
      <c r="D475" s="310">
        <v>2.67</v>
      </c>
      <c r="E475" s="310">
        <v>0</v>
      </c>
      <c r="F475" s="310">
        <v>1</v>
      </c>
      <c r="G475" s="310">
        <f t="shared" si="11"/>
        <v>0.16019999999999998</v>
      </c>
      <c r="H475" s="299"/>
      <c r="I475" s="298"/>
    </row>
    <row r="476" spans="2:9" s="13" customFormat="1">
      <c r="B476" s="511"/>
      <c r="C476" s="310">
        <v>0.43</v>
      </c>
      <c r="D476" s="310">
        <v>2.67</v>
      </c>
      <c r="E476" s="310">
        <v>0</v>
      </c>
      <c r="F476" s="310">
        <v>1</v>
      </c>
      <c r="G476" s="310">
        <f t="shared" ref="G476" si="12">((C476*D476)*F476)-E476</f>
        <v>1.1480999999999999</v>
      </c>
      <c r="H476" s="299"/>
      <c r="I476" s="298"/>
    </row>
    <row r="477" spans="2:9" s="13" customFormat="1">
      <c r="B477" s="510"/>
      <c r="C477" s="310">
        <v>1.26</v>
      </c>
      <c r="D477" s="310">
        <v>2.67</v>
      </c>
      <c r="E477" s="310">
        <v>0</v>
      </c>
      <c r="F477" s="310">
        <v>1</v>
      </c>
      <c r="G477" s="310">
        <f t="shared" si="11"/>
        <v>3.3641999999999999</v>
      </c>
      <c r="H477" s="299"/>
      <c r="I477" s="298"/>
    </row>
    <row r="478" spans="2:9" s="13" customFormat="1" ht="15" customHeight="1">
      <c r="B478" s="509" t="s">
        <v>131</v>
      </c>
      <c r="C478" s="310">
        <v>4.79</v>
      </c>
      <c r="D478" s="310">
        <v>2.57</v>
      </c>
      <c r="E478" s="310">
        <v>0</v>
      </c>
      <c r="F478" s="310">
        <v>1</v>
      </c>
      <c r="G478" s="310">
        <f t="shared" si="11"/>
        <v>12.3103</v>
      </c>
      <c r="H478" s="299"/>
      <c r="I478" s="298"/>
    </row>
    <row r="479" spans="2:9" s="13" customFormat="1" ht="15" customHeight="1">
      <c r="B479" s="511"/>
      <c r="C479" s="310">
        <v>2.83</v>
      </c>
      <c r="D479" s="310">
        <v>2.57</v>
      </c>
      <c r="E479" s="310">
        <f>(0.9*2.1)*2</f>
        <v>3.7800000000000002</v>
      </c>
      <c r="F479" s="310">
        <v>2</v>
      </c>
      <c r="G479" s="310">
        <f t="shared" si="11"/>
        <v>10.766199999999998</v>
      </c>
      <c r="H479" s="299"/>
      <c r="I479" s="298"/>
    </row>
    <row r="480" spans="2:9" s="13" customFormat="1" ht="15" customHeight="1">
      <c r="B480" s="511"/>
      <c r="C480" s="310">
        <v>10.01</v>
      </c>
      <c r="D480" s="310">
        <v>2.57</v>
      </c>
      <c r="E480" s="310">
        <f>2.1*1.2</f>
        <v>2.52</v>
      </c>
      <c r="F480" s="310">
        <v>1</v>
      </c>
      <c r="G480" s="310">
        <f t="shared" si="11"/>
        <v>23.205699999999997</v>
      </c>
      <c r="H480" s="299"/>
      <c r="I480" s="298"/>
    </row>
    <row r="481" spans="2:11" s="13" customFormat="1" ht="15" customHeight="1">
      <c r="B481" s="511"/>
      <c r="C481" s="310">
        <v>0.37</v>
      </c>
      <c r="D481" s="310">
        <v>2.57</v>
      </c>
      <c r="E481" s="310">
        <v>0</v>
      </c>
      <c r="F481" s="310">
        <v>2</v>
      </c>
      <c r="G481" s="310">
        <f t="shared" si="11"/>
        <v>1.9017999999999999</v>
      </c>
      <c r="H481" s="299"/>
      <c r="I481" s="298"/>
    </row>
    <row r="482" spans="2:11" s="13" customFormat="1" ht="15" customHeight="1">
      <c r="B482" s="511"/>
      <c r="C482" s="310">
        <v>0.22</v>
      </c>
      <c r="D482" s="310">
        <v>3.25</v>
      </c>
      <c r="E482" s="310">
        <v>0</v>
      </c>
      <c r="F482" s="310">
        <v>2</v>
      </c>
      <c r="G482" s="310">
        <f t="shared" si="11"/>
        <v>1.43</v>
      </c>
      <c r="H482" s="299"/>
      <c r="I482" s="298"/>
    </row>
    <row r="483" spans="2:11" s="13" customFormat="1">
      <c r="B483" s="511"/>
      <c r="C483" s="310">
        <v>0.2</v>
      </c>
      <c r="D483" s="310">
        <v>2.57</v>
      </c>
      <c r="E483" s="310">
        <v>0</v>
      </c>
      <c r="F483" s="310">
        <v>2</v>
      </c>
      <c r="G483" s="310">
        <f t="shared" si="11"/>
        <v>1.028</v>
      </c>
      <c r="H483" s="299"/>
      <c r="I483" s="298"/>
    </row>
    <row r="484" spans="2:11" s="13" customFormat="1">
      <c r="B484" s="511"/>
      <c r="C484" s="310">
        <v>0.99</v>
      </c>
      <c r="D484" s="310">
        <v>2.57</v>
      </c>
      <c r="E484" s="310">
        <v>0</v>
      </c>
      <c r="F484" s="310">
        <v>1</v>
      </c>
      <c r="G484" s="310">
        <f t="shared" si="11"/>
        <v>2.5442999999999998</v>
      </c>
      <c r="H484" s="299"/>
      <c r="I484" s="298"/>
    </row>
    <row r="485" spans="2:11" s="13" customFormat="1">
      <c r="B485" s="509" t="s">
        <v>134</v>
      </c>
      <c r="C485" s="310">
        <v>4</v>
      </c>
      <c r="D485" s="310">
        <v>2.57</v>
      </c>
      <c r="E485" s="310">
        <f>(0.9*2.1)+1</f>
        <v>2.89</v>
      </c>
      <c r="F485" s="310">
        <v>2</v>
      </c>
      <c r="G485" s="310">
        <f t="shared" ref="G485:G496" si="13">((C485*D485*F485)-E485)</f>
        <v>17.669999999999998</v>
      </c>
      <c r="H485" s="23"/>
      <c r="I485" s="298"/>
    </row>
    <row r="486" spans="2:11" s="13" customFormat="1">
      <c r="B486" s="511"/>
      <c r="C486" s="310">
        <v>3.54</v>
      </c>
      <c r="D486" s="310">
        <v>2.57</v>
      </c>
      <c r="E486" s="310">
        <v>0</v>
      </c>
      <c r="F486" s="310">
        <v>1</v>
      </c>
      <c r="G486" s="310">
        <f t="shared" si="13"/>
        <v>9.0977999999999994</v>
      </c>
      <c r="H486" s="23"/>
      <c r="I486" s="298"/>
    </row>
    <row r="487" spans="2:11" s="13" customFormat="1">
      <c r="B487" s="511"/>
      <c r="C487" s="310">
        <v>1.47</v>
      </c>
      <c r="D487" s="310">
        <v>2.57</v>
      </c>
      <c r="E487" s="310">
        <v>0</v>
      </c>
      <c r="F487" s="310">
        <v>1</v>
      </c>
      <c r="G487" s="310">
        <f t="shared" si="13"/>
        <v>3.7778999999999998</v>
      </c>
      <c r="H487" s="23"/>
      <c r="I487" s="298"/>
    </row>
    <row r="488" spans="2:11" s="13" customFormat="1">
      <c r="B488" s="511"/>
      <c r="C488" s="310">
        <v>1.82</v>
      </c>
      <c r="D488" s="310">
        <v>2.57</v>
      </c>
      <c r="E488" s="310">
        <v>0</v>
      </c>
      <c r="F488" s="310">
        <v>1</v>
      </c>
      <c r="G488" s="310">
        <f t="shared" si="13"/>
        <v>4.6773999999999996</v>
      </c>
      <c r="H488" s="23"/>
      <c r="I488" s="298"/>
    </row>
    <row r="489" spans="2:11" s="13" customFormat="1">
      <c r="B489" s="511"/>
      <c r="C489" s="310">
        <v>0.19</v>
      </c>
      <c r="D489" s="310">
        <v>2.57</v>
      </c>
      <c r="E489" s="310">
        <v>0</v>
      </c>
      <c r="F489" s="310">
        <v>2</v>
      </c>
      <c r="G489" s="310">
        <f t="shared" si="13"/>
        <v>0.97659999999999991</v>
      </c>
      <c r="H489" s="23"/>
      <c r="I489" s="298"/>
    </row>
    <row r="490" spans="2:11" s="13" customFormat="1">
      <c r="B490" s="510"/>
      <c r="C490" s="310">
        <v>0.25</v>
      </c>
      <c r="D490" s="310">
        <v>2.57</v>
      </c>
      <c r="E490" s="310">
        <v>0</v>
      </c>
      <c r="F490" s="310">
        <v>1</v>
      </c>
      <c r="G490" s="310">
        <f t="shared" si="13"/>
        <v>0.64249999999999996</v>
      </c>
      <c r="H490" s="23"/>
      <c r="I490" s="298"/>
    </row>
    <row r="491" spans="2:11" s="13" customFormat="1">
      <c r="B491" s="509" t="s">
        <v>133</v>
      </c>
      <c r="C491" s="310">
        <v>4</v>
      </c>
      <c r="D491" s="310">
        <v>2.57</v>
      </c>
      <c r="E491" s="310">
        <f>(0.5*2)</f>
        <v>1</v>
      </c>
      <c r="F491" s="310">
        <v>2</v>
      </c>
      <c r="G491" s="310">
        <f t="shared" si="13"/>
        <v>19.559999999999999</v>
      </c>
      <c r="H491" s="23"/>
      <c r="I491" s="298"/>
    </row>
    <row r="492" spans="2:11" s="13" customFormat="1" ht="15" customHeight="1">
      <c r="B492" s="511"/>
      <c r="C492" s="303">
        <v>1.82</v>
      </c>
      <c r="D492" s="310">
        <v>2.57</v>
      </c>
      <c r="E492" s="303">
        <v>0</v>
      </c>
      <c r="F492" s="310">
        <v>1</v>
      </c>
      <c r="G492" s="303">
        <f t="shared" si="13"/>
        <v>4.6773999999999996</v>
      </c>
      <c r="H492" s="23"/>
      <c r="I492" s="298"/>
    </row>
    <row r="493" spans="2:11" s="13" customFormat="1" ht="15" customHeight="1">
      <c r="B493" s="511"/>
      <c r="C493" s="303">
        <v>1.53</v>
      </c>
      <c r="D493" s="310">
        <v>2.57</v>
      </c>
      <c r="E493" s="303">
        <v>0</v>
      </c>
      <c r="F493" s="310">
        <v>1</v>
      </c>
      <c r="G493" s="303">
        <f t="shared" si="13"/>
        <v>3.9320999999999997</v>
      </c>
      <c r="H493" s="23"/>
      <c r="I493" s="298"/>
    </row>
    <row r="494" spans="2:11" s="13" customFormat="1" ht="15" customHeight="1">
      <c r="B494" s="511"/>
      <c r="C494" s="303">
        <v>0.19</v>
      </c>
      <c r="D494" s="310">
        <v>2.57</v>
      </c>
      <c r="E494" s="303">
        <v>0</v>
      </c>
      <c r="F494" s="310">
        <v>1</v>
      </c>
      <c r="G494" s="303">
        <f t="shared" si="13"/>
        <v>0.48829999999999996</v>
      </c>
      <c r="H494" s="23"/>
      <c r="I494" s="298"/>
    </row>
    <row r="495" spans="2:11" s="13" customFormat="1" ht="15" customHeight="1">
      <c r="B495" s="510"/>
      <c r="C495" s="303">
        <v>0.2</v>
      </c>
      <c r="D495" s="310">
        <v>2.57</v>
      </c>
      <c r="E495" s="303">
        <v>0</v>
      </c>
      <c r="F495" s="310">
        <v>2</v>
      </c>
      <c r="G495" s="303">
        <f t="shared" si="13"/>
        <v>1.028</v>
      </c>
      <c r="H495" s="23"/>
      <c r="I495" s="298"/>
    </row>
    <row r="496" spans="2:11" s="13" customFormat="1" ht="15" customHeight="1">
      <c r="B496" s="509" t="s">
        <v>149</v>
      </c>
      <c r="C496" s="303">
        <v>4.3099999999999996</v>
      </c>
      <c r="D496" s="303">
        <v>2.37</v>
      </c>
      <c r="E496" s="303">
        <f>(2.1*1)</f>
        <v>2.1</v>
      </c>
      <c r="F496" s="310">
        <v>2</v>
      </c>
      <c r="G496" s="303">
        <f t="shared" si="13"/>
        <v>18.329399999999996</v>
      </c>
      <c r="H496" s="353"/>
      <c r="I496" s="314"/>
      <c r="J496" s="24"/>
      <c r="K496" s="24"/>
    </row>
    <row r="497" spans="2:19" s="13" customFormat="1" ht="15" customHeight="1">
      <c r="B497" s="511"/>
      <c r="C497" s="303">
        <v>4.79</v>
      </c>
      <c r="D497" s="303">
        <v>2.37</v>
      </c>
      <c r="E497" s="303">
        <f>(1.2*1.2)</f>
        <v>1.44</v>
      </c>
      <c r="F497" s="310">
        <v>1</v>
      </c>
      <c r="G497" s="303">
        <f>((C497*D497*F497)-E497)+0.3</f>
        <v>10.212300000000003</v>
      </c>
      <c r="H497" s="354" t="s">
        <v>206</v>
      </c>
      <c r="I497" s="298"/>
    </row>
    <row r="498" spans="2:19" s="13" customFormat="1" ht="15" customHeight="1">
      <c r="B498" s="511"/>
      <c r="C498" s="303">
        <v>0.13</v>
      </c>
      <c r="D498" s="303">
        <v>2.37</v>
      </c>
      <c r="E498" s="303">
        <v>0</v>
      </c>
      <c r="F498" s="310">
        <v>2</v>
      </c>
      <c r="G498" s="303">
        <f t="shared" ref="G498:G515" si="14">((C498*D498*F498)-E498)</f>
        <v>0.61620000000000008</v>
      </c>
      <c r="H498" s="23"/>
      <c r="I498" s="298"/>
    </row>
    <row r="499" spans="2:19" s="13" customFormat="1" ht="15" customHeight="1">
      <c r="B499" s="511"/>
      <c r="C499" s="303">
        <v>2.99</v>
      </c>
      <c r="D499" s="303">
        <v>2.37</v>
      </c>
      <c r="E499" s="303">
        <v>0</v>
      </c>
      <c r="F499" s="310">
        <v>2</v>
      </c>
      <c r="G499" s="303">
        <f t="shared" si="14"/>
        <v>14.172600000000001</v>
      </c>
      <c r="H499" s="23"/>
      <c r="I499" s="298"/>
      <c r="S499" s="13">
        <v>0.46899999999999997</v>
      </c>
    </row>
    <row r="500" spans="2:19" s="13" customFormat="1" ht="36" customHeight="1">
      <c r="B500" s="509" t="s">
        <v>132</v>
      </c>
      <c r="C500" s="303">
        <v>4.07</v>
      </c>
      <c r="D500" s="303">
        <v>2.67</v>
      </c>
      <c r="E500" s="303">
        <f>1*2.1</f>
        <v>2.1</v>
      </c>
      <c r="F500" s="303">
        <v>2</v>
      </c>
      <c r="G500" s="303">
        <f>((C500*D500*F500)-E500)-0.72</f>
        <v>18.913800000000002</v>
      </c>
      <c r="H500" s="521" t="s">
        <v>222</v>
      </c>
      <c r="I500" s="522"/>
    </row>
    <row r="501" spans="2:19" s="13" customFormat="1" ht="37.5" customHeight="1">
      <c r="B501" s="511"/>
      <c r="C501" s="519">
        <v>4.97</v>
      </c>
      <c r="D501" s="519">
        <v>2.67</v>
      </c>
      <c r="E501" s="519">
        <f>(0.9*2.1)*2+(1.2*1.2)</f>
        <v>5.2200000000000006</v>
      </c>
      <c r="F501" s="519">
        <v>2</v>
      </c>
      <c r="G501" s="519">
        <f>((C501*D501*F501)-E501)+0.3-1.37</f>
        <v>20.2498</v>
      </c>
      <c r="H501" s="545" t="s">
        <v>206</v>
      </c>
      <c r="I501" s="546"/>
    </row>
    <row r="502" spans="2:19" s="13" customFormat="1" ht="37.5" customHeight="1">
      <c r="B502" s="511"/>
      <c r="C502" s="520"/>
      <c r="D502" s="520"/>
      <c r="E502" s="520"/>
      <c r="F502" s="520"/>
      <c r="G502" s="520"/>
      <c r="H502" s="521" t="s">
        <v>223</v>
      </c>
      <c r="I502" s="522"/>
    </row>
    <row r="503" spans="2:19" s="13" customFormat="1" ht="15" customHeight="1">
      <c r="B503" s="511"/>
      <c r="C503" s="303">
        <v>0.2</v>
      </c>
      <c r="D503" s="310">
        <v>2.67</v>
      </c>
      <c r="E503" s="303">
        <v>0</v>
      </c>
      <c r="F503" s="310">
        <v>2</v>
      </c>
      <c r="G503" s="303">
        <f t="shared" ref="G503" si="15">((C503*D503*F503)-E503)</f>
        <v>1.0680000000000001</v>
      </c>
      <c r="H503" s="23"/>
      <c r="I503" s="298"/>
      <c r="O503" s="13">
        <v>0.36</v>
      </c>
    </row>
    <row r="504" spans="2:19" s="13" customFormat="1" ht="15" customHeight="1">
      <c r="B504" s="509" t="s">
        <v>138</v>
      </c>
      <c r="C504" s="303">
        <v>2.68</v>
      </c>
      <c r="D504" s="310">
        <v>3.1</v>
      </c>
      <c r="E504" s="303">
        <f>(0.9*2.1)</f>
        <v>1.8900000000000001</v>
      </c>
      <c r="F504" s="310">
        <v>1</v>
      </c>
      <c r="G504" s="303">
        <f t="shared" si="14"/>
        <v>6.418000000000001</v>
      </c>
      <c r="H504" s="23"/>
      <c r="I504" s="298"/>
      <c r="P504" s="13">
        <f>O503+O503</f>
        <v>0.72</v>
      </c>
    </row>
    <row r="505" spans="2:19" s="13" customFormat="1" ht="15" customHeight="1">
      <c r="B505" s="511"/>
      <c r="C505" s="303">
        <v>1.26</v>
      </c>
      <c r="D505" s="310">
        <v>3.1</v>
      </c>
      <c r="E505" s="303">
        <v>0</v>
      </c>
      <c r="F505" s="310">
        <v>1</v>
      </c>
      <c r="G505" s="303">
        <f t="shared" si="14"/>
        <v>3.9060000000000001</v>
      </c>
      <c r="H505" s="23"/>
      <c r="I505" s="298"/>
    </row>
    <row r="506" spans="2:19" s="13" customFormat="1" ht="15" customHeight="1">
      <c r="B506" s="511"/>
      <c r="C506" s="303">
        <v>0.68</v>
      </c>
      <c r="D506" s="310">
        <v>3.1</v>
      </c>
      <c r="E506" s="303">
        <v>0</v>
      </c>
      <c r="F506" s="310">
        <v>1</v>
      </c>
      <c r="G506" s="303">
        <f t="shared" si="14"/>
        <v>2.1080000000000001</v>
      </c>
      <c r="H506" s="23"/>
      <c r="I506" s="298"/>
    </row>
    <row r="507" spans="2:19" s="13" customFormat="1" ht="15" customHeight="1">
      <c r="B507" s="511"/>
      <c r="C507" s="303">
        <v>1.48</v>
      </c>
      <c r="D507" s="310">
        <v>3.1</v>
      </c>
      <c r="E507" s="303">
        <f>(1.2*2.1)</f>
        <v>2.52</v>
      </c>
      <c r="F507" s="310">
        <v>1</v>
      </c>
      <c r="G507" s="303">
        <f t="shared" si="14"/>
        <v>2.0680000000000001</v>
      </c>
      <c r="H507" s="23"/>
      <c r="I507" s="298"/>
    </row>
    <row r="508" spans="2:19" s="13" customFormat="1" ht="15" customHeight="1">
      <c r="B508" s="511"/>
      <c r="C508" s="303">
        <v>0.7</v>
      </c>
      <c r="D508" s="310">
        <v>3.1</v>
      </c>
      <c r="E508" s="303">
        <v>0</v>
      </c>
      <c r="F508" s="310">
        <v>1</v>
      </c>
      <c r="G508" s="303">
        <f t="shared" si="14"/>
        <v>2.17</v>
      </c>
      <c r="H508" s="23"/>
      <c r="I508" s="298"/>
    </row>
    <row r="509" spans="2:19" s="13" customFormat="1" ht="15" customHeight="1">
      <c r="B509" s="511"/>
      <c r="C509" s="303">
        <v>1.52</v>
      </c>
      <c r="D509" s="310">
        <v>0.4</v>
      </c>
      <c r="E509" s="303">
        <v>0</v>
      </c>
      <c r="F509" s="310">
        <v>1</v>
      </c>
      <c r="G509" s="303">
        <f t="shared" si="14"/>
        <v>0.6080000000000001</v>
      </c>
      <c r="H509" s="519" t="s">
        <v>277</v>
      </c>
      <c r="I509" s="298"/>
    </row>
    <row r="510" spans="2:19" s="13" customFormat="1" ht="15" customHeight="1">
      <c r="B510" s="511"/>
      <c r="C510" s="303">
        <v>1.52</v>
      </c>
      <c r="D510" s="310">
        <v>0.16</v>
      </c>
      <c r="E510" s="303">
        <v>0</v>
      </c>
      <c r="F510" s="310">
        <v>1</v>
      </c>
      <c r="G510" s="303">
        <f t="shared" si="14"/>
        <v>0.2432</v>
      </c>
      <c r="H510" s="543"/>
      <c r="I510" s="298"/>
    </row>
    <row r="511" spans="2:19" s="13" customFormat="1" ht="15" customHeight="1">
      <c r="B511" s="511"/>
      <c r="C511" s="303">
        <v>8.8699999999999992</v>
      </c>
      <c r="D511" s="310">
        <v>0.15</v>
      </c>
      <c r="E511" s="303">
        <v>0</v>
      </c>
      <c r="F511" s="310">
        <v>1</v>
      </c>
      <c r="G511" s="303">
        <f t="shared" si="14"/>
        <v>1.3304999999999998</v>
      </c>
      <c r="H511" s="543"/>
      <c r="I511" s="298"/>
    </row>
    <row r="512" spans="2:19" s="13" customFormat="1" ht="15" customHeight="1">
      <c r="B512" s="511"/>
      <c r="C512" s="303">
        <v>8.8699999999999992</v>
      </c>
      <c r="D512" s="310">
        <v>0.4</v>
      </c>
      <c r="E512" s="303">
        <v>0</v>
      </c>
      <c r="F512" s="310">
        <v>1</v>
      </c>
      <c r="G512" s="303">
        <f t="shared" si="14"/>
        <v>3.548</v>
      </c>
      <c r="H512" s="520"/>
      <c r="I512" s="298"/>
    </row>
    <row r="513" spans="2:11" s="13" customFormat="1" ht="15" customHeight="1">
      <c r="B513" s="511"/>
      <c r="C513" s="303">
        <v>2.89</v>
      </c>
      <c r="D513" s="310">
        <v>3.1</v>
      </c>
      <c r="E513" s="303">
        <v>0</v>
      </c>
      <c r="F513" s="310">
        <v>1</v>
      </c>
      <c r="G513" s="303">
        <f t="shared" si="14"/>
        <v>8.9590000000000014</v>
      </c>
      <c r="H513" s="23"/>
      <c r="I513" s="298"/>
    </row>
    <row r="514" spans="2:11" s="13" customFormat="1">
      <c r="B514" s="512" t="s">
        <v>202</v>
      </c>
      <c r="C514" s="303">
        <v>2.5499999999999998</v>
      </c>
      <c r="D514" s="310">
        <v>3.07</v>
      </c>
      <c r="E514" s="303">
        <f>(0.9*2.1)</f>
        <v>1.8900000000000001</v>
      </c>
      <c r="F514" s="310">
        <v>2</v>
      </c>
      <c r="G514" s="303">
        <f t="shared" si="14"/>
        <v>13.766999999999998</v>
      </c>
      <c r="H514" s="23"/>
      <c r="I514" s="298"/>
    </row>
    <row r="515" spans="2:11" s="13" customFormat="1">
      <c r="B515" s="512"/>
      <c r="C515" s="303">
        <v>2.7</v>
      </c>
      <c r="D515" s="310">
        <v>3.07</v>
      </c>
      <c r="E515" s="303">
        <f>(1.2*1.2)</f>
        <v>1.44</v>
      </c>
      <c r="F515" s="310">
        <v>2</v>
      </c>
      <c r="G515" s="303">
        <f t="shared" si="14"/>
        <v>15.138</v>
      </c>
      <c r="H515" s="23"/>
      <c r="I515" s="298"/>
    </row>
    <row r="516" spans="2:11" s="13" customFormat="1">
      <c r="B516" s="336"/>
      <c r="C516" s="325"/>
      <c r="D516" s="325"/>
      <c r="E516" s="325"/>
      <c r="F516" s="325"/>
      <c r="G516" s="316">
        <f>SUM(G459:G515)</f>
        <v>348.53019999999987</v>
      </c>
      <c r="H516" s="305" t="s">
        <v>161</v>
      </c>
      <c r="I516" s="298"/>
    </row>
    <row r="517" spans="2:11" s="13" customFormat="1">
      <c r="B517" s="336"/>
      <c r="C517" s="325"/>
      <c r="D517" s="325"/>
      <c r="E517" s="325"/>
      <c r="F517" s="325"/>
      <c r="G517" s="308"/>
      <c r="H517" s="309"/>
      <c r="I517" s="298"/>
    </row>
    <row r="518" spans="2:11">
      <c r="C518" s="337" t="s">
        <v>208</v>
      </c>
      <c r="D518" s="338"/>
      <c r="E518" s="298"/>
      <c r="F518" s="298"/>
      <c r="G518" s="298"/>
      <c r="H518" s="299"/>
    </row>
    <row r="519" spans="2:11">
      <c r="B519" s="23"/>
      <c r="C519" s="301" t="s">
        <v>127</v>
      </c>
      <c r="D519" s="301" t="s">
        <v>162</v>
      </c>
      <c r="E519" s="23"/>
      <c r="F519" s="23"/>
      <c r="G519" s="23"/>
      <c r="H519" s="23"/>
    </row>
    <row r="520" spans="2:11">
      <c r="B520" s="23"/>
      <c r="C520" s="507" t="s">
        <v>225</v>
      </c>
      <c r="D520" s="310">
        <v>0.52</v>
      </c>
      <c r="E520" s="23"/>
      <c r="F520" s="23"/>
      <c r="G520" s="23"/>
      <c r="H520" s="23"/>
    </row>
    <row r="521" spans="2:11">
      <c r="B521" s="23"/>
      <c r="C521" s="508"/>
      <c r="D521" s="310">
        <v>1.18</v>
      </c>
      <c r="E521" s="23"/>
      <c r="F521" s="23"/>
      <c r="G521" s="23"/>
      <c r="H521" s="23"/>
    </row>
    <row r="522" spans="2:11">
      <c r="B522" s="23"/>
      <c r="C522" s="23"/>
      <c r="D522" s="304">
        <f>SUM(D520:D521)</f>
        <v>1.7</v>
      </c>
      <c r="E522" s="305" t="s">
        <v>90</v>
      </c>
      <c r="F522" s="23"/>
      <c r="G522" s="23"/>
      <c r="H522" s="23"/>
    </row>
    <row r="523" spans="2:11" s="13" customFormat="1" ht="15" customHeight="1">
      <c r="B523" s="329"/>
      <c r="C523" s="321"/>
      <c r="D523" s="321"/>
      <c r="E523" s="321"/>
      <c r="F523" s="321"/>
      <c r="G523" s="321"/>
      <c r="H523" s="299"/>
      <c r="I523" s="298"/>
    </row>
    <row r="524" spans="2:11" s="13" customFormat="1" ht="15" customHeight="1">
      <c r="B524" s="329"/>
      <c r="C524" s="321"/>
      <c r="D524" s="330" t="s">
        <v>226</v>
      </c>
      <c r="E524" s="331">
        <f xml:space="preserve"> D522+G516</f>
        <v>350.23019999999985</v>
      </c>
      <c r="F524" s="305" t="s">
        <v>90</v>
      </c>
      <c r="G524" s="321"/>
      <c r="H524" s="299"/>
      <c r="I524" s="298"/>
    </row>
    <row r="525" spans="2:11" s="13" customFormat="1" ht="15" customHeight="1">
      <c r="B525" s="329"/>
      <c r="C525" s="321"/>
      <c r="D525" s="297"/>
      <c r="E525" s="297"/>
      <c r="F525" s="297"/>
      <c r="G525" s="321"/>
      <c r="H525" s="299"/>
      <c r="I525" s="298"/>
    </row>
    <row r="526" spans="2:11" ht="18" customHeight="1">
      <c r="B526" s="523" t="s">
        <v>383</v>
      </c>
      <c r="C526" s="524"/>
      <c r="D526" s="524"/>
      <c r="E526" s="524"/>
      <c r="F526" s="524"/>
      <c r="G526" s="524"/>
      <c r="H526" s="524"/>
      <c r="I526" s="524"/>
      <c r="J526" s="32"/>
      <c r="K526" s="32"/>
    </row>
    <row r="527" spans="2:11" ht="19.5" customHeight="1">
      <c r="B527" s="23"/>
      <c r="C527" s="334"/>
      <c r="D527" s="334"/>
      <c r="E527" s="334"/>
      <c r="F527" s="334"/>
      <c r="G527" s="334"/>
      <c r="H527" s="334"/>
      <c r="I527" s="334"/>
      <c r="J527" s="32"/>
      <c r="K527" s="32"/>
    </row>
    <row r="528" spans="2:11" s="13" customFormat="1" ht="15" customHeight="1">
      <c r="B528" s="532" t="s">
        <v>384</v>
      </c>
      <c r="C528" s="532"/>
      <c r="D528" s="316">
        <f>E524</f>
        <v>350.23019999999985</v>
      </c>
      <c r="E528" s="305" t="s">
        <v>161</v>
      </c>
      <c r="F528" s="325"/>
      <c r="G528" s="325"/>
      <c r="H528" s="23"/>
      <c r="I528" s="298"/>
    </row>
    <row r="529" spans="2:11">
      <c r="B529" s="298"/>
      <c r="C529" s="298"/>
      <c r="D529" s="298"/>
      <c r="E529" s="298"/>
      <c r="F529" s="298"/>
      <c r="G529" s="298"/>
      <c r="H529" s="298"/>
    </row>
    <row r="530" spans="2:11" ht="21" customHeight="1">
      <c r="B530" s="515" t="s">
        <v>385</v>
      </c>
      <c r="C530" s="516"/>
      <c r="D530" s="516"/>
      <c r="E530" s="516"/>
      <c r="F530" s="516"/>
      <c r="G530" s="516"/>
      <c r="H530" s="516"/>
      <c r="I530" s="516"/>
      <c r="J530" s="35"/>
      <c r="K530" s="35"/>
    </row>
    <row r="531" spans="2:11" ht="19.5" customHeight="1">
      <c r="B531" s="23"/>
      <c r="C531" s="334"/>
      <c r="D531" s="334"/>
      <c r="E531" s="334"/>
      <c r="F531" s="334"/>
      <c r="G531" s="334"/>
      <c r="H531" s="334"/>
      <c r="I531" s="334"/>
      <c r="J531" s="32"/>
      <c r="K531" s="32"/>
    </row>
    <row r="532" spans="2:11">
      <c r="B532" s="23"/>
      <c r="C532" s="301" t="s">
        <v>127</v>
      </c>
      <c r="D532" s="301" t="s">
        <v>162</v>
      </c>
      <c r="E532" s="23"/>
      <c r="F532" s="23"/>
      <c r="G532" s="23"/>
      <c r="H532" s="23"/>
    </row>
    <row r="533" spans="2:11">
      <c r="B533" s="23"/>
      <c r="C533" s="301" t="s">
        <v>130</v>
      </c>
      <c r="D533" s="310">
        <v>78.239999999999995</v>
      </c>
      <c r="E533" s="303" t="s">
        <v>206</v>
      </c>
      <c r="F533" s="23"/>
      <c r="G533" s="23"/>
      <c r="H533" s="23"/>
    </row>
    <row r="534" spans="2:11">
      <c r="B534" s="23"/>
      <c r="C534" s="301" t="s">
        <v>131</v>
      </c>
      <c r="D534" s="310">
        <v>30.17</v>
      </c>
      <c r="E534" s="347"/>
      <c r="F534" s="348"/>
      <c r="G534" s="23"/>
      <c r="H534" s="23"/>
    </row>
    <row r="535" spans="2:11">
      <c r="B535" s="23"/>
      <c r="C535" s="302" t="s">
        <v>149</v>
      </c>
      <c r="D535" s="310">
        <v>22.33</v>
      </c>
      <c r="E535" s="303" t="s">
        <v>206</v>
      </c>
      <c r="F535" s="23"/>
      <c r="G535" s="23"/>
      <c r="H535" s="23"/>
    </row>
    <row r="536" spans="2:11" ht="31.5">
      <c r="B536" s="23"/>
      <c r="C536" s="302" t="s">
        <v>132</v>
      </c>
      <c r="D536" s="349">
        <v>21.77</v>
      </c>
      <c r="E536" s="303" t="s">
        <v>206</v>
      </c>
      <c r="F536" s="23"/>
      <c r="G536" s="23"/>
      <c r="H536" s="23"/>
    </row>
    <row r="537" spans="2:11">
      <c r="B537" s="23"/>
      <c r="C537" s="302" t="s">
        <v>133</v>
      </c>
      <c r="D537" s="310">
        <v>14.89</v>
      </c>
      <c r="E537" s="23"/>
      <c r="F537" s="23"/>
      <c r="G537" s="23"/>
      <c r="H537" s="23"/>
    </row>
    <row r="538" spans="2:11">
      <c r="B538" s="23"/>
      <c r="C538" s="302" t="s">
        <v>134</v>
      </c>
      <c r="D538" s="310">
        <v>14.86</v>
      </c>
      <c r="E538" s="23"/>
      <c r="F538" s="23"/>
      <c r="G538" s="23"/>
      <c r="H538" s="23"/>
    </row>
    <row r="539" spans="2:11">
      <c r="B539" s="23"/>
      <c r="C539" s="302" t="s">
        <v>137</v>
      </c>
      <c r="D539" s="310">
        <v>3.81</v>
      </c>
      <c r="E539" s="23"/>
      <c r="F539" s="23"/>
      <c r="G539" s="23"/>
      <c r="H539" s="23"/>
    </row>
    <row r="540" spans="2:11">
      <c r="B540" s="23"/>
      <c r="C540" s="302" t="s">
        <v>136</v>
      </c>
      <c r="D540" s="310">
        <v>3.81</v>
      </c>
      <c r="E540" s="23"/>
      <c r="F540" s="23"/>
      <c r="G540" s="23"/>
      <c r="H540" s="23"/>
    </row>
    <row r="541" spans="2:11">
      <c r="B541" s="23"/>
      <c r="C541" s="302" t="s">
        <v>202</v>
      </c>
      <c r="D541" s="310">
        <v>6.89</v>
      </c>
      <c r="E541" s="23"/>
      <c r="F541" s="23"/>
      <c r="G541" s="23"/>
      <c r="H541" s="23"/>
    </row>
    <row r="542" spans="2:11">
      <c r="B542" s="23"/>
      <c r="C542" s="302" t="s">
        <v>138</v>
      </c>
      <c r="D542" s="310">
        <v>20.05</v>
      </c>
      <c r="E542" s="23"/>
      <c r="F542" s="23"/>
      <c r="G542" s="23"/>
      <c r="H542" s="23"/>
    </row>
    <row r="543" spans="2:11">
      <c r="B543" s="23"/>
      <c r="C543" s="23"/>
      <c r="D543" s="304">
        <f>SUM(D533:D542)</f>
        <v>216.82000000000005</v>
      </c>
      <c r="E543" s="305" t="s">
        <v>90</v>
      </c>
      <c r="F543" s="23"/>
      <c r="G543" s="23"/>
      <c r="H543" s="23"/>
    </row>
    <row r="544" spans="2:11">
      <c r="B544" s="298"/>
      <c r="C544" s="298"/>
      <c r="D544" s="298"/>
      <c r="E544" s="298"/>
      <c r="F544" s="298"/>
      <c r="G544" s="298"/>
      <c r="H544" s="298"/>
    </row>
    <row r="545" spans="2:11" ht="21" customHeight="1">
      <c r="B545" s="523" t="s">
        <v>386</v>
      </c>
      <c r="C545" s="524"/>
      <c r="D545" s="524"/>
      <c r="E545" s="524"/>
      <c r="F545" s="524"/>
      <c r="G545" s="524"/>
      <c r="H545" s="524"/>
      <c r="I545" s="524"/>
      <c r="J545" s="32"/>
      <c r="K545" s="32"/>
    </row>
    <row r="546" spans="2:11" ht="19.5" customHeight="1">
      <c r="B546" s="23"/>
      <c r="C546" s="334"/>
      <c r="D546" s="334"/>
      <c r="E546" s="334"/>
      <c r="F546" s="334"/>
      <c r="G546" s="334"/>
      <c r="H546" s="334"/>
      <c r="I546" s="334"/>
      <c r="J546" s="32"/>
      <c r="K546" s="32"/>
    </row>
    <row r="547" spans="2:11" s="13" customFormat="1">
      <c r="B547" s="301" t="s">
        <v>127</v>
      </c>
      <c r="C547" s="301" t="s">
        <v>159</v>
      </c>
      <c r="D547" s="317" t="s">
        <v>121</v>
      </c>
      <c r="E547" s="301" t="s">
        <v>160</v>
      </c>
      <c r="F547" s="301" t="s">
        <v>125</v>
      </c>
      <c r="G547" s="301" t="s">
        <v>123</v>
      </c>
      <c r="H547" s="299"/>
      <c r="I547" s="298"/>
    </row>
    <row r="548" spans="2:11" s="13" customFormat="1" ht="15" customHeight="1">
      <c r="B548" s="302" t="s">
        <v>131</v>
      </c>
      <c r="C548" s="310">
        <v>4.79</v>
      </c>
      <c r="D548" s="310">
        <v>2.57</v>
      </c>
      <c r="E548" s="310">
        <v>0</v>
      </c>
      <c r="F548" s="310">
        <v>1</v>
      </c>
      <c r="G548" s="310">
        <f>((C548*D548)*F548)-E548</f>
        <v>12.3103</v>
      </c>
      <c r="H548" s="299"/>
      <c r="I548" s="298"/>
    </row>
    <row r="549" spans="2:11">
      <c r="B549" s="530"/>
      <c r="C549" s="530"/>
      <c r="D549" s="530"/>
      <c r="E549" s="351"/>
      <c r="F549" s="352"/>
      <c r="G549" s="316">
        <f>SUM(G548:G548)-E549</f>
        <v>12.3103</v>
      </c>
      <c r="H549" s="305" t="s">
        <v>90</v>
      </c>
    </row>
    <row r="550" spans="2:11" s="13" customFormat="1">
      <c r="B550" s="324"/>
      <c r="C550" s="321"/>
      <c r="D550" s="321"/>
      <c r="E550" s="321"/>
      <c r="F550" s="321"/>
      <c r="G550" s="321"/>
      <c r="H550" s="299"/>
      <c r="I550" s="298"/>
    </row>
    <row r="551" spans="2:11" s="27" customFormat="1" ht="18.75">
      <c r="B551" s="25" t="s">
        <v>387</v>
      </c>
      <c r="C551" s="25"/>
      <c r="D551" s="25"/>
      <c r="E551" s="25"/>
      <c r="F551" s="25"/>
      <c r="G551" s="25"/>
      <c r="H551" s="25"/>
    </row>
    <row r="552" spans="2:11" s="27" customFormat="1" ht="18.75">
      <c r="B552" s="299"/>
      <c r="C552" s="299"/>
      <c r="D552" s="299"/>
      <c r="E552" s="299"/>
      <c r="F552" s="299"/>
      <c r="G552" s="299"/>
      <c r="H552" s="299"/>
      <c r="I552" s="298"/>
    </row>
    <row r="553" spans="2:11" ht="12.75" customHeight="1">
      <c r="B553" s="523" t="s">
        <v>388</v>
      </c>
      <c r="C553" s="523"/>
      <c r="D553" s="523"/>
      <c r="E553" s="523"/>
      <c r="F553" s="523"/>
      <c r="G553" s="523"/>
      <c r="H553" s="523"/>
    </row>
    <row r="554" spans="2:11" ht="6" customHeight="1">
      <c r="B554" s="523"/>
      <c r="C554" s="523"/>
      <c r="D554" s="523"/>
      <c r="E554" s="523"/>
      <c r="F554" s="523"/>
      <c r="G554" s="523"/>
      <c r="H554" s="523"/>
    </row>
    <row r="555" spans="2:11">
      <c r="B555" s="23"/>
      <c r="C555" s="355"/>
      <c r="D555" s="356"/>
      <c r="E555" s="23"/>
      <c r="F555" s="23"/>
      <c r="G555" s="23"/>
      <c r="H555" s="23"/>
    </row>
    <row r="556" spans="2:11" s="13" customFormat="1">
      <c r="B556" s="298"/>
      <c r="C556" s="301" t="s">
        <v>120</v>
      </c>
      <c r="D556" s="357" t="s">
        <v>168</v>
      </c>
      <c r="E556" s="301" t="s">
        <v>122</v>
      </c>
      <c r="F556" s="301" t="s">
        <v>123</v>
      </c>
      <c r="G556" s="298"/>
      <c r="H556" s="298"/>
      <c r="I556" s="298"/>
    </row>
    <row r="557" spans="2:11" s="13" customFormat="1">
      <c r="B557" s="298"/>
      <c r="C557" s="357">
        <v>2.25</v>
      </c>
      <c r="D557" s="310">
        <v>0.21</v>
      </c>
      <c r="E557" s="310">
        <v>2</v>
      </c>
      <c r="F557" s="310">
        <f>C557*D557*E557</f>
        <v>0.94499999999999995</v>
      </c>
      <c r="G557" s="298"/>
      <c r="H557" s="298"/>
      <c r="I557" s="298"/>
    </row>
    <row r="558" spans="2:11" s="13" customFormat="1">
      <c r="B558" s="298"/>
      <c r="C558" s="312">
        <v>2</v>
      </c>
      <c r="D558" s="310">
        <v>0.14000000000000001</v>
      </c>
      <c r="E558" s="310">
        <v>2</v>
      </c>
      <c r="F558" s="310">
        <f>C558*D558*E558</f>
        <v>0.56000000000000005</v>
      </c>
      <c r="G558" s="298"/>
      <c r="H558" s="298"/>
      <c r="I558" s="298"/>
    </row>
    <row r="559" spans="2:11" s="13" customFormat="1">
      <c r="B559" s="531"/>
      <c r="C559" s="531"/>
      <c r="D559" s="531"/>
      <c r="E559" s="531"/>
      <c r="F559" s="316">
        <f>SUM(F557:F558)</f>
        <v>1.5049999999999999</v>
      </c>
      <c r="G559" s="305" t="s">
        <v>90</v>
      </c>
      <c r="H559" s="298"/>
      <c r="I559" s="298"/>
    </row>
    <row r="560" spans="2:11" ht="12.75" customHeight="1">
      <c r="B560" s="523" t="s">
        <v>389</v>
      </c>
      <c r="C560" s="523"/>
      <c r="D560" s="523"/>
      <c r="E560" s="523"/>
      <c r="F560" s="523"/>
      <c r="G560" s="523"/>
      <c r="H560" s="523"/>
    </row>
    <row r="561" spans="2:9" ht="6" customHeight="1">
      <c r="B561" s="523"/>
      <c r="C561" s="523"/>
      <c r="D561" s="523"/>
      <c r="E561" s="523"/>
      <c r="F561" s="523"/>
      <c r="G561" s="523"/>
      <c r="H561" s="523"/>
    </row>
    <row r="562" spans="2:9">
      <c r="B562" s="23"/>
      <c r="C562" s="355"/>
      <c r="D562" s="356"/>
      <c r="E562" s="23"/>
      <c r="F562" s="23"/>
      <c r="G562" s="23"/>
      <c r="H562" s="23"/>
    </row>
    <row r="563" spans="2:9" s="13" customFormat="1">
      <c r="B563" s="298"/>
      <c r="C563" s="301" t="s">
        <v>120</v>
      </c>
      <c r="D563" s="357" t="s">
        <v>168</v>
      </c>
      <c r="E563" s="301" t="s">
        <v>122</v>
      </c>
      <c r="F563" s="301" t="s">
        <v>123</v>
      </c>
      <c r="G563" s="298"/>
      <c r="H563" s="298"/>
      <c r="I563" s="298"/>
    </row>
    <row r="564" spans="2:9" s="13" customFormat="1">
      <c r="B564" s="298"/>
      <c r="C564" s="357">
        <v>0.9</v>
      </c>
      <c r="D564" s="310">
        <v>0.14000000000000001</v>
      </c>
      <c r="E564" s="310">
        <v>5</v>
      </c>
      <c r="F564" s="310">
        <f>C564*D564*E564</f>
        <v>0.63000000000000012</v>
      </c>
      <c r="G564" s="298"/>
      <c r="H564" s="298"/>
      <c r="I564" s="298"/>
    </row>
    <row r="565" spans="2:9" s="13" customFormat="1">
      <c r="B565" s="298"/>
      <c r="C565" s="312">
        <v>1.2</v>
      </c>
      <c r="D565" s="310">
        <v>0.14000000000000001</v>
      </c>
      <c r="E565" s="310">
        <v>2</v>
      </c>
      <c r="F565" s="310">
        <f>C565*D565*E565</f>
        <v>0.33600000000000002</v>
      </c>
      <c r="G565" s="298"/>
      <c r="H565" s="298"/>
      <c r="I565" s="298"/>
    </row>
    <row r="566" spans="2:9" s="13" customFormat="1">
      <c r="B566" s="298"/>
      <c r="C566" s="312">
        <v>1</v>
      </c>
      <c r="D566" s="310">
        <v>0.13</v>
      </c>
      <c r="E566" s="310">
        <v>1</v>
      </c>
      <c r="F566" s="310">
        <f>C566*D566*E566</f>
        <v>0.13</v>
      </c>
      <c r="G566" s="298"/>
      <c r="H566" s="298"/>
      <c r="I566" s="298"/>
    </row>
    <row r="567" spans="2:9" s="13" customFormat="1">
      <c r="B567" s="531"/>
      <c r="C567" s="531"/>
      <c r="D567" s="531"/>
      <c r="E567" s="531"/>
      <c r="F567" s="316">
        <f>SUM(F564:F566)</f>
        <v>1.0960000000000001</v>
      </c>
      <c r="G567" s="305" t="s">
        <v>90</v>
      </c>
      <c r="H567" s="298"/>
      <c r="I567" s="298"/>
    </row>
    <row r="568" spans="2:9" s="13" customFormat="1">
      <c r="B568" s="358"/>
      <c r="C568" s="358"/>
      <c r="D568" s="358"/>
      <c r="E568" s="358"/>
      <c r="F568" s="308"/>
      <c r="G568" s="309"/>
      <c r="H568" s="298"/>
      <c r="I568" s="298"/>
    </row>
    <row r="569" spans="2:9">
      <c r="B569" s="298"/>
      <c r="C569" s="298"/>
      <c r="D569" s="298"/>
      <c r="E569" s="298"/>
      <c r="F569" s="298"/>
      <c r="G569" s="298"/>
      <c r="H569" s="298"/>
    </row>
    <row r="570" spans="2:9" s="27" customFormat="1" ht="18.75">
      <c r="B570" s="25" t="s">
        <v>390</v>
      </c>
      <c r="C570" s="25"/>
      <c r="D570" s="25"/>
      <c r="E570" s="25"/>
      <c r="F570" s="25"/>
      <c r="G570" s="25"/>
      <c r="H570" s="25"/>
    </row>
    <row r="571" spans="2:9" s="27" customFormat="1" ht="18.75">
      <c r="B571" s="297"/>
      <c r="C571" s="297"/>
      <c r="D571" s="297"/>
      <c r="E571" s="297"/>
      <c r="F571" s="297"/>
      <c r="G571" s="297"/>
      <c r="H571" s="297"/>
      <c r="I571" s="298"/>
    </row>
    <row r="572" spans="2:9" ht="12.75" customHeight="1">
      <c r="B572" s="523" t="s">
        <v>391</v>
      </c>
      <c r="C572" s="523"/>
      <c r="D572" s="523"/>
      <c r="E572" s="523"/>
      <c r="F572" s="523"/>
      <c r="G572" s="523"/>
      <c r="H572" s="523"/>
    </row>
    <row r="573" spans="2:9" ht="8.25" customHeight="1">
      <c r="B573" s="523"/>
      <c r="C573" s="523"/>
      <c r="D573" s="523"/>
      <c r="E573" s="523"/>
      <c r="F573" s="523"/>
      <c r="G573" s="523"/>
      <c r="H573" s="523"/>
    </row>
    <row r="574" spans="2:9" ht="12.75" customHeight="1">
      <c r="B574" s="23"/>
      <c r="C574" s="23"/>
      <c r="D574" s="23"/>
      <c r="E574" s="23"/>
      <c r="F574" s="23"/>
      <c r="G574" s="23"/>
      <c r="H574" s="23"/>
    </row>
    <row r="575" spans="2:9">
      <c r="B575" s="23"/>
      <c r="C575" s="301" t="s">
        <v>127</v>
      </c>
      <c r="D575" s="301" t="s">
        <v>122</v>
      </c>
      <c r="E575" s="23"/>
      <c r="F575" s="23"/>
      <c r="G575" s="23"/>
      <c r="H575" s="23"/>
    </row>
    <row r="576" spans="2:9">
      <c r="B576" s="23"/>
      <c r="C576" s="302" t="s">
        <v>131</v>
      </c>
      <c r="D576" s="310">
        <v>2</v>
      </c>
      <c r="E576" s="23"/>
      <c r="F576" s="23"/>
      <c r="G576" s="23"/>
      <c r="H576" s="23"/>
    </row>
    <row r="577" spans="2:8">
      <c r="B577" s="23"/>
      <c r="C577" s="302" t="s">
        <v>130</v>
      </c>
      <c r="D577" s="310">
        <v>2</v>
      </c>
      <c r="E577" s="23"/>
      <c r="F577" s="23"/>
      <c r="G577" s="23"/>
      <c r="H577" s="23"/>
    </row>
    <row r="578" spans="2:8">
      <c r="B578" s="23"/>
      <c r="C578" s="355"/>
      <c r="D578" s="304">
        <f>SUM(D575:D577)</f>
        <v>4</v>
      </c>
      <c r="E578" s="305" t="s">
        <v>128</v>
      </c>
      <c r="F578" s="23"/>
      <c r="G578" s="23"/>
      <c r="H578" s="23"/>
    </row>
    <row r="579" spans="2:8">
      <c r="B579" s="23"/>
      <c r="C579" s="355"/>
      <c r="D579" s="355"/>
      <c r="E579" s="23"/>
      <c r="F579" s="23"/>
      <c r="G579" s="23"/>
      <c r="H579" s="23"/>
    </row>
    <row r="580" spans="2:8" ht="12.75" customHeight="1">
      <c r="B580" s="523" t="s">
        <v>392</v>
      </c>
      <c r="C580" s="523"/>
      <c r="D580" s="523"/>
      <c r="E580" s="523"/>
      <c r="F580" s="523"/>
      <c r="G580" s="523"/>
      <c r="H580" s="523"/>
    </row>
    <row r="581" spans="2:8" ht="8.25" customHeight="1">
      <c r="B581" s="523"/>
      <c r="C581" s="523"/>
      <c r="D581" s="523"/>
      <c r="E581" s="523"/>
      <c r="F581" s="523"/>
      <c r="G581" s="523"/>
      <c r="H581" s="523"/>
    </row>
    <row r="582" spans="2:8" ht="12.75" customHeight="1">
      <c r="B582" s="23"/>
      <c r="C582" s="23"/>
      <c r="D582" s="23"/>
      <c r="E582" s="23"/>
      <c r="F582" s="23"/>
      <c r="G582" s="23"/>
      <c r="H582" s="23"/>
    </row>
    <row r="583" spans="2:8">
      <c r="B583" s="23"/>
      <c r="C583" s="301" t="s">
        <v>127</v>
      </c>
      <c r="D583" s="301" t="s">
        <v>122</v>
      </c>
      <c r="E583" s="23"/>
      <c r="F583" s="23"/>
      <c r="G583" s="23"/>
      <c r="H583" s="23"/>
    </row>
    <row r="584" spans="2:8">
      <c r="B584" s="23"/>
      <c r="C584" s="302" t="s">
        <v>134</v>
      </c>
      <c r="D584" s="310">
        <v>1</v>
      </c>
      <c r="E584" s="23"/>
      <c r="F584" s="23"/>
      <c r="G584" s="23"/>
      <c r="H584" s="23"/>
    </row>
    <row r="585" spans="2:8" ht="31.5">
      <c r="B585" s="23"/>
      <c r="C585" s="302" t="s">
        <v>132</v>
      </c>
      <c r="D585" s="310">
        <v>1</v>
      </c>
      <c r="E585" s="23"/>
      <c r="F585" s="23"/>
      <c r="G585" s="23"/>
      <c r="H585" s="23"/>
    </row>
    <row r="586" spans="2:8">
      <c r="B586" s="23"/>
      <c r="C586" s="302" t="s">
        <v>133</v>
      </c>
      <c r="D586" s="310">
        <v>1</v>
      </c>
      <c r="E586" s="23"/>
      <c r="F586" s="23"/>
      <c r="G586" s="23"/>
      <c r="H586" s="23"/>
    </row>
    <row r="587" spans="2:8">
      <c r="B587" s="23"/>
      <c r="C587" s="302" t="s">
        <v>202</v>
      </c>
      <c r="D587" s="310">
        <v>1</v>
      </c>
      <c r="E587" s="23"/>
      <c r="F587" s="23"/>
      <c r="G587" s="23"/>
      <c r="H587" s="23"/>
    </row>
    <row r="588" spans="2:8">
      <c r="B588" s="23"/>
      <c r="C588" s="355"/>
      <c r="D588" s="304">
        <f>SUM(D583:D587)</f>
        <v>4</v>
      </c>
      <c r="E588" s="305" t="s">
        <v>128</v>
      </c>
      <c r="F588" s="23"/>
      <c r="G588" s="23"/>
      <c r="H588" s="23"/>
    </row>
    <row r="589" spans="2:8">
      <c r="B589" s="23"/>
      <c r="C589" s="355"/>
      <c r="D589" s="355"/>
      <c r="E589" s="23"/>
      <c r="F589" s="23"/>
      <c r="G589" s="23"/>
      <c r="H589" s="23"/>
    </row>
    <row r="590" spans="2:8" ht="12.75" customHeight="1">
      <c r="B590" s="523" t="s">
        <v>393</v>
      </c>
      <c r="C590" s="523"/>
      <c r="D590" s="523"/>
      <c r="E590" s="523"/>
      <c r="F590" s="523"/>
      <c r="G590" s="523"/>
      <c r="H590" s="523"/>
    </row>
    <row r="591" spans="2:8" ht="8.25" customHeight="1">
      <c r="B591" s="523"/>
      <c r="C591" s="523"/>
      <c r="D591" s="523"/>
      <c r="E591" s="523"/>
      <c r="F591" s="523"/>
      <c r="G591" s="523"/>
      <c r="H591" s="523"/>
    </row>
    <row r="592" spans="2:8" ht="12.75" customHeight="1">
      <c r="B592" s="23"/>
      <c r="C592" s="23"/>
      <c r="D592" s="23"/>
      <c r="E592" s="23"/>
      <c r="F592" s="23"/>
      <c r="G592" s="23"/>
      <c r="H592" s="23"/>
    </row>
    <row r="593" spans="2:9" s="13" customFormat="1" ht="15" customHeight="1">
      <c r="B593" s="532" t="s">
        <v>171</v>
      </c>
      <c r="C593" s="532"/>
      <c r="D593" s="316">
        <f>D588</f>
        <v>4</v>
      </c>
      <c r="E593" s="305" t="s">
        <v>128</v>
      </c>
      <c r="F593" s="325"/>
      <c r="G593" s="325"/>
      <c r="H593" s="23"/>
      <c r="I593" s="298"/>
    </row>
    <row r="594" spans="2:9">
      <c r="B594" s="23"/>
      <c r="C594" s="355"/>
      <c r="D594" s="355"/>
      <c r="E594" s="23"/>
      <c r="F594" s="23"/>
      <c r="G594" s="23"/>
      <c r="H594" s="23"/>
    </row>
    <row r="595" spans="2:9" ht="12.75" customHeight="1">
      <c r="B595" s="517" t="s">
        <v>394</v>
      </c>
      <c r="C595" s="517"/>
      <c r="D595" s="517"/>
      <c r="E595" s="517"/>
      <c r="F595" s="517"/>
      <c r="G595" s="517"/>
      <c r="H595" s="517"/>
    </row>
    <row r="596" spans="2:9" ht="30" customHeight="1">
      <c r="B596" s="517"/>
      <c r="C596" s="517"/>
      <c r="D596" s="517"/>
      <c r="E596" s="517"/>
      <c r="F596" s="517"/>
      <c r="G596" s="517"/>
      <c r="H596" s="517"/>
    </row>
    <row r="597" spans="2:9" ht="12.75" customHeight="1">
      <c r="B597" s="23"/>
      <c r="C597" s="23"/>
      <c r="D597" s="23"/>
      <c r="E597" s="23"/>
      <c r="F597" s="23"/>
      <c r="G597" s="23"/>
      <c r="H597" s="23"/>
    </row>
    <row r="598" spans="2:9">
      <c r="B598" s="23"/>
      <c r="C598" s="301" t="s">
        <v>127</v>
      </c>
      <c r="D598" s="301" t="s">
        <v>122</v>
      </c>
      <c r="E598" s="23"/>
      <c r="F598" s="23"/>
      <c r="G598" s="23"/>
      <c r="H598" s="23"/>
    </row>
    <row r="599" spans="2:9">
      <c r="B599" s="23"/>
      <c r="C599" s="302" t="s">
        <v>137</v>
      </c>
      <c r="D599" s="310">
        <v>1</v>
      </c>
      <c r="E599" s="23"/>
      <c r="F599" s="23"/>
      <c r="G599" s="23"/>
      <c r="H599" s="23"/>
    </row>
    <row r="600" spans="2:9">
      <c r="B600" s="23"/>
      <c r="C600" s="302" t="s">
        <v>136</v>
      </c>
      <c r="D600" s="310">
        <v>1</v>
      </c>
      <c r="E600" s="23"/>
      <c r="F600" s="23"/>
      <c r="G600" s="23"/>
      <c r="H600" s="23"/>
    </row>
    <row r="601" spans="2:9">
      <c r="B601" s="23"/>
      <c r="C601" s="355"/>
      <c r="D601" s="304">
        <f>SUM(D598:D600)</f>
        <v>2</v>
      </c>
      <c r="E601" s="305" t="s">
        <v>172</v>
      </c>
      <c r="F601" s="23"/>
      <c r="G601" s="23"/>
      <c r="H601" s="23"/>
    </row>
    <row r="602" spans="2:9">
      <c r="B602" s="23"/>
      <c r="C602" s="355"/>
      <c r="D602" s="355"/>
      <c r="E602" s="23"/>
      <c r="F602" s="23"/>
      <c r="G602" s="23"/>
      <c r="H602" s="23"/>
    </row>
    <row r="603" spans="2:9" ht="12.75" customHeight="1">
      <c r="B603" s="523" t="s">
        <v>395</v>
      </c>
      <c r="C603" s="523"/>
      <c r="D603" s="523"/>
      <c r="E603" s="523"/>
      <c r="F603" s="523"/>
      <c r="G603" s="523"/>
      <c r="H603" s="523"/>
    </row>
    <row r="604" spans="2:9" ht="8.25" customHeight="1">
      <c r="B604" s="523"/>
      <c r="C604" s="523"/>
      <c r="D604" s="523"/>
      <c r="E604" s="523"/>
      <c r="F604" s="523"/>
      <c r="G604" s="523"/>
      <c r="H604" s="523"/>
    </row>
    <row r="605" spans="2:9" ht="12.75" customHeight="1">
      <c r="B605" s="23"/>
      <c r="C605" s="23"/>
      <c r="D605" s="23"/>
      <c r="E605" s="23"/>
      <c r="F605" s="23"/>
      <c r="G605" s="23"/>
      <c r="H605" s="23"/>
    </row>
    <row r="606" spans="2:9">
      <c r="B606" s="23"/>
      <c r="C606" s="301" t="s">
        <v>127</v>
      </c>
      <c r="D606" s="301" t="s">
        <v>122</v>
      </c>
      <c r="E606" s="23"/>
      <c r="F606" s="23"/>
      <c r="G606" s="23"/>
      <c r="H606" s="23"/>
    </row>
    <row r="607" spans="2:9">
      <c r="B607" s="23"/>
      <c r="C607" s="302" t="s">
        <v>134</v>
      </c>
      <c r="D607" s="310">
        <v>1</v>
      </c>
      <c r="E607" s="23"/>
      <c r="F607" s="23"/>
      <c r="G607" s="23"/>
      <c r="H607" s="23"/>
    </row>
    <row r="608" spans="2:9" ht="31.5">
      <c r="B608" s="23"/>
      <c r="C608" s="302" t="s">
        <v>132</v>
      </c>
      <c r="D608" s="310">
        <v>1</v>
      </c>
      <c r="E608" s="23"/>
      <c r="F608" s="23"/>
      <c r="G608" s="23"/>
      <c r="H608" s="23"/>
    </row>
    <row r="609" spans="2:8">
      <c r="B609" s="23"/>
      <c r="C609" s="302" t="s">
        <v>133</v>
      </c>
      <c r="D609" s="310">
        <v>1</v>
      </c>
      <c r="E609" s="23"/>
      <c r="F609" s="23"/>
      <c r="G609" s="23"/>
      <c r="H609" s="23"/>
    </row>
    <row r="610" spans="2:8">
      <c r="B610" s="23"/>
      <c r="C610" s="302" t="s">
        <v>137</v>
      </c>
      <c r="D610" s="310">
        <v>1</v>
      </c>
      <c r="E610" s="23"/>
      <c r="F610" s="23"/>
      <c r="G610" s="23"/>
      <c r="H610" s="23"/>
    </row>
    <row r="611" spans="2:8">
      <c r="B611" s="23"/>
      <c r="C611" s="302" t="s">
        <v>136</v>
      </c>
      <c r="D611" s="310">
        <v>1</v>
      </c>
      <c r="E611" s="23"/>
      <c r="F611" s="23"/>
      <c r="G611" s="23"/>
      <c r="H611" s="23"/>
    </row>
    <row r="612" spans="2:8">
      <c r="B612" s="23"/>
      <c r="C612" s="302" t="s">
        <v>130</v>
      </c>
      <c r="D612" s="310">
        <v>2</v>
      </c>
      <c r="E612" s="23"/>
      <c r="F612" s="23"/>
      <c r="G612" s="23"/>
      <c r="H612" s="23"/>
    </row>
    <row r="613" spans="2:8">
      <c r="B613" s="23"/>
      <c r="C613" s="302" t="s">
        <v>131</v>
      </c>
      <c r="D613" s="310">
        <v>2</v>
      </c>
      <c r="E613" s="23"/>
      <c r="F613" s="23"/>
      <c r="G613" s="23"/>
      <c r="H613" s="23"/>
    </row>
    <row r="614" spans="2:8">
      <c r="B614" s="23"/>
      <c r="C614" s="302" t="s">
        <v>202</v>
      </c>
      <c r="D614" s="310">
        <v>1</v>
      </c>
      <c r="E614" s="23"/>
      <c r="F614" s="23"/>
      <c r="G614" s="23"/>
      <c r="H614" s="23"/>
    </row>
    <row r="615" spans="2:8">
      <c r="B615" s="23"/>
      <c r="C615" s="355"/>
      <c r="D615" s="304">
        <f>SUM(D606:D614)</f>
        <v>10</v>
      </c>
      <c r="E615" s="305" t="s">
        <v>172</v>
      </c>
      <c r="F615" s="23"/>
      <c r="G615" s="23"/>
      <c r="H615" s="23"/>
    </row>
    <row r="616" spans="2:8">
      <c r="B616" s="23"/>
      <c r="C616" s="355"/>
      <c r="D616" s="355"/>
      <c r="E616" s="23"/>
      <c r="F616" s="23"/>
      <c r="G616" s="23"/>
      <c r="H616" s="23"/>
    </row>
    <row r="617" spans="2:8" ht="12.75" customHeight="1">
      <c r="B617" s="523" t="s">
        <v>397</v>
      </c>
      <c r="C617" s="523"/>
      <c r="D617" s="523"/>
      <c r="E617" s="523"/>
      <c r="F617" s="523"/>
      <c r="G617" s="523"/>
      <c r="H617" s="523"/>
    </row>
    <row r="618" spans="2:8" ht="8.25" customHeight="1">
      <c r="B618" s="523"/>
      <c r="C618" s="523"/>
      <c r="D618" s="523"/>
      <c r="E618" s="523"/>
      <c r="F618" s="523"/>
      <c r="G618" s="523"/>
      <c r="H618" s="523"/>
    </row>
    <row r="619" spans="2:8" ht="12.75" customHeight="1">
      <c r="B619" s="23"/>
      <c r="C619" s="23"/>
      <c r="D619" s="23"/>
      <c r="E619" s="23"/>
      <c r="F619" s="23"/>
      <c r="G619" s="23"/>
      <c r="H619" s="23"/>
    </row>
    <row r="620" spans="2:8">
      <c r="B620" s="23"/>
      <c r="C620" s="301" t="s">
        <v>127</v>
      </c>
      <c r="D620" s="301" t="s">
        <v>122</v>
      </c>
      <c r="E620" s="23"/>
      <c r="F620" s="23"/>
      <c r="G620" s="23"/>
      <c r="H620" s="23"/>
    </row>
    <row r="621" spans="2:8">
      <c r="B621" s="23"/>
      <c r="C621" s="302" t="s">
        <v>130</v>
      </c>
      <c r="D621" s="310">
        <v>2</v>
      </c>
      <c r="E621" s="23"/>
      <c r="F621" s="23"/>
      <c r="G621" s="23"/>
      <c r="H621" s="23"/>
    </row>
    <row r="622" spans="2:8">
      <c r="B622" s="23"/>
      <c r="C622" s="302" t="s">
        <v>131</v>
      </c>
      <c r="D622" s="310">
        <v>2</v>
      </c>
      <c r="E622" s="23"/>
      <c r="F622" s="23"/>
      <c r="G622" s="23"/>
      <c r="H622" s="23"/>
    </row>
    <row r="623" spans="2:8">
      <c r="B623" s="23"/>
      <c r="C623" s="355"/>
      <c r="D623" s="304">
        <f>SUM(D620:D622)</f>
        <v>4</v>
      </c>
      <c r="E623" s="305" t="s">
        <v>128</v>
      </c>
      <c r="F623" s="23"/>
      <c r="G623" s="23"/>
      <c r="H623" s="23"/>
    </row>
    <row r="624" spans="2:8">
      <c r="B624" s="23"/>
      <c r="C624" s="355"/>
      <c r="D624" s="355"/>
      <c r="E624" s="23"/>
      <c r="F624" s="23"/>
      <c r="G624" s="23"/>
      <c r="H624" s="23"/>
    </row>
    <row r="625" spans="2:11" s="13" customFormat="1" ht="34.5" customHeight="1">
      <c r="B625" s="523" t="s">
        <v>396</v>
      </c>
      <c r="C625" s="523"/>
      <c r="D625" s="523"/>
      <c r="E625" s="523"/>
      <c r="F625" s="523"/>
      <c r="G625" s="523"/>
      <c r="H625" s="523"/>
      <c r="I625" s="523"/>
      <c r="J625" s="31"/>
      <c r="K625" s="31"/>
    </row>
    <row r="626" spans="2:11" s="13" customFormat="1" ht="15.75" customHeight="1">
      <c r="B626" s="299"/>
      <c r="C626" s="299"/>
      <c r="D626" s="299"/>
      <c r="E626" s="299"/>
      <c r="F626" s="299"/>
      <c r="G626" s="299"/>
      <c r="H626" s="299"/>
      <c r="I626" s="298"/>
    </row>
    <row r="627" spans="2:11" s="13" customFormat="1" ht="15.75" customHeight="1">
      <c r="B627" s="299"/>
      <c r="C627" s="301" t="s">
        <v>177</v>
      </c>
      <c r="D627" s="301" t="s">
        <v>178</v>
      </c>
      <c r="E627" s="301" t="s">
        <v>125</v>
      </c>
      <c r="F627" s="301" t="s">
        <v>179</v>
      </c>
      <c r="G627" s="299"/>
      <c r="H627" s="299"/>
      <c r="I627" s="298"/>
    </row>
    <row r="628" spans="2:11" s="13" customFormat="1" ht="15.75" customHeight="1">
      <c r="B628" s="299"/>
      <c r="C628" s="310" t="s">
        <v>181</v>
      </c>
      <c r="D628" s="310">
        <v>4</v>
      </c>
      <c r="E628" s="310">
        <v>2</v>
      </c>
      <c r="F628" s="310">
        <f>0.8*2.1*D628*E628</f>
        <v>13.440000000000001</v>
      </c>
      <c r="G628" s="299"/>
      <c r="H628" s="299"/>
      <c r="I628" s="298"/>
    </row>
    <row r="629" spans="2:11" s="13" customFormat="1" ht="15.75" customHeight="1">
      <c r="B629" s="299"/>
      <c r="C629" s="310" t="s">
        <v>180</v>
      </c>
      <c r="D629" s="310">
        <v>2</v>
      </c>
      <c r="E629" s="310">
        <v>2</v>
      </c>
      <c r="F629" s="310">
        <f>0.9*2.1*D629*E629</f>
        <v>7.5600000000000005</v>
      </c>
      <c r="G629" s="299"/>
      <c r="H629" s="299"/>
      <c r="I629" s="298"/>
    </row>
    <row r="630" spans="2:11" s="13" customFormat="1" ht="13.5" customHeight="1">
      <c r="B630" s="23"/>
      <c r="C630" s="23"/>
      <c r="D630" s="346"/>
      <c r="E630" s="297"/>
      <c r="F630" s="316">
        <f>SUM(F628:F629)</f>
        <v>21</v>
      </c>
      <c r="G630" s="305" t="s">
        <v>161</v>
      </c>
      <c r="H630" s="23"/>
      <c r="I630" s="298"/>
    </row>
    <row r="631" spans="2:11">
      <c r="B631" s="23"/>
      <c r="C631" s="355"/>
      <c r="D631" s="355"/>
      <c r="E631" s="23"/>
      <c r="F631" s="23"/>
      <c r="G631" s="23"/>
      <c r="H631" s="23"/>
    </row>
    <row r="632" spans="2:11" s="29" customFormat="1" ht="30.75" customHeight="1">
      <c r="B632" s="523" t="s">
        <v>398</v>
      </c>
      <c r="C632" s="523"/>
      <c r="D632" s="523"/>
      <c r="E632" s="523"/>
      <c r="F632" s="523"/>
      <c r="G632" s="523"/>
      <c r="H632" s="523"/>
      <c r="I632" s="523"/>
      <c r="J632" s="31"/>
      <c r="K632" s="31"/>
    </row>
    <row r="633" spans="2:11" s="13" customFormat="1" ht="15.75" customHeight="1">
      <c r="B633" s="299"/>
      <c r="C633" s="299"/>
      <c r="D633" s="299"/>
      <c r="E633" s="299"/>
      <c r="F633" s="299"/>
      <c r="G633" s="299"/>
      <c r="H633" s="299"/>
      <c r="I633" s="298"/>
    </row>
    <row r="634" spans="2:11" s="13" customFormat="1" ht="15" customHeight="1">
      <c r="B634" s="532" t="s">
        <v>399</v>
      </c>
      <c r="C634" s="532"/>
      <c r="D634" s="316">
        <f>F630</f>
        <v>21</v>
      </c>
      <c r="E634" s="305" t="s">
        <v>161</v>
      </c>
      <c r="F634" s="325"/>
      <c r="G634" s="325"/>
      <c r="H634" s="23"/>
      <c r="I634" s="298"/>
    </row>
    <row r="635" spans="2:11" s="13" customFormat="1" ht="15" customHeight="1">
      <c r="B635" s="341"/>
      <c r="C635" s="341"/>
      <c r="D635" s="308"/>
      <c r="E635" s="309"/>
      <c r="F635" s="325"/>
      <c r="G635" s="325"/>
      <c r="H635" s="23"/>
      <c r="I635" s="298"/>
    </row>
    <row r="636" spans="2:11" s="13" customFormat="1" ht="28.5" customHeight="1">
      <c r="B636" s="523" t="s">
        <v>400</v>
      </c>
      <c r="C636" s="523"/>
      <c r="D636" s="523"/>
      <c r="E636" s="523"/>
      <c r="F636" s="523"/>
      <c r="G636" s="523"/>
      <c r="H636" s="523"/>
      <c r="I636" s="523"/>
      <c r="J636" s="31"/>
      <c r="K636" s="31"/>
    </row>
    <row r="637" spans="2:11" s="13" customFormat="1" ht="15.75" customHeight="1">
      <c r="B637" s="299"/>
      <c r="C637" s="299"/>
      <c r="D637" s="299"/>
      <c r="E637" s="299"/>
      <c r="F637" s="299"/>
      <c r="G637" s="299"/>
      <c r="H637" s="299"/>
      <c r="I637" s="298"/>
    </row>
    <row r="638" spans="2:11" s="13" customFormat="1" ht="15.75" customHeight="1">
      <c r="B638" s="299"/>
      <c r="C638" s="301" t="s">
        <v>177</v>
      </c>
      <c r="D638" s="301" t="s">
        <v>178</v>
      </c>
      <c r="E638" s="301" t="s">
        <v>125</v>
      </c>
      <c r="F638" s="301" t="s">
        <v>179</v>
      </c>
      <c r="G638" s="299"/>
      <c r="H638" s="299"/>
      <c r="I638" s="298"/>
    </row>
    <row r="639" spans="2:11" s="13" customFormat="1" ht="15.75" customHeight="1">
      <c r="B639" s="299"/>
      <c r="C639" s="310" t="s">
        <v>180</v>
      </c>
      <c r="D639" s="310">
        <v>4</v>
      </c>
      <c r="E639" s="310">
        <v>2</v>
      </c>
      <c r="F639" s="310">
        <f>0.9*2.1*D639*E639</f>
        <v>15.120000000000001</v>
      </c>
      <c r="G639" s="299"/>
      <c r="H639" s="299"/>
      <c r="I639" s="298"/>
    </row>
    <row r="640" spans="2:11" s="13" customFormat="1" ht="13.5" customHeight="1">
      <c r="B640" s="23"/>
      <c r="C640" s="23"/>
      <c r="D640" s="346"/>
      <c r="E640" s="297"/>
      <c r="F640" s="316">
        <f>SUM(F639:F639)</f>
        <v>15.120000000000001</v>
      </c>
      <c r="G640" s="305" t="s">
        <v>161</v>
      </c>
      <c r="H640" s="23"/>
      <c r="I640" s="298"/>
    </row>
    <row r="641" spans="2:9" s="13" customFormat="1" ht="13.5" customHeight="1">
      <c r="B641" s="23"/>
      <c r="C641" s="23"/>
      <c r="D641" s="346"/>
      <c r="E641" s="297"/>
      <c r="F641" s="23"/>
      <c r="G641" s="23"/>
      <c r="H641" s="23"/>
      <c r="I641" s="298"/>
    </row>
    <row r="642" spans="2:9" s="27" customFormat="1" ht="18.75">
      <c r="B642" s="25" t="s">
        <v>401</v>
      </c>
      <c r="C642" s="25"/>
      <c r="D642" s="25"/>
      <c r="E642" s="25"/>
      <c r="F642" s="25"/>
      <c r="G642" s="25"/>
      <c r="H642" s="25"/>
    </row>
    <row r="643" spans="2:9" s="27" customFormat="1" ht="16.5" customHeight="1">
      <c r="B643" s="299"/>
      <c r="C643" s="299"/>
      <c r="D643" s="299"/>
      <c r="E643" s="299"/>
      <c r="F643" s="299"/>
      <c r="G643" s="299"/>
      <c r="H643" s="299"/>
      <c r="I643" s="298"/>
    </row>
    <row r="644" spans="2:9" ht="12.75" customHeight="1">
      <c r="B644" s="523" t="s">
        <v>402</v>
      </c>
      <c r="C644" s="523"/>
      <c r="D644" s="523"/>
      <c r="E644" s="523"/>
      <c r="F644" s="523"/>
      <c r="G644" s="523"/>
      <c r="H644" s="523"/>
    </row>
    <row r="645" spans="2:9" ht="3.75" customHeight="1">
      <c r="B645" s="523"/>
      <c r="C645" s="523"/>
      <c r="D645" s="523"/>
      <c r="E645" s="523"/>
      <c r="F645" s="523"/>
      <c r="G645" s="523"/>
      <c r="H645" s="523"/>
    </row>
    <row r="646" spans="2:9" ht="12.75" customHeight="1">
      <c r="B646" s="23"/>
      <c r="C646" s="23"/>
      <c r="D646" s="23"/>
      <c r="E646" s="23"/>
      <c r="F646" s="23"/>
      <c r="G646" s="23"/>
      <c r="H646" s="23"/>
    </row>
    <row r="647" spans="2:9">
      <c r="B647" s="23"/>
      <c r="C647" s="301" t="s">
        <v>127</v>
      </c>
      <c r="D647" s="301" t="s">
        <v>122</v>
      </c>
      <c r="E647" s="23"/>
      <c r="F647" s="23"/>
      <c r="G647" s="23"/>
      <c r="H647" s="23"/>
    </row>
    <row r="648" spans="2:9">
      <c r="B648" s="23"/>
      <c r="C648" s="302" t="s">
        <v>137</v>
      </c>
      <c r="D648" s="310">
        <v>1</v>
      </c>
      <c r="E648" s="23"/>
      <c r="F648" s="23"/>
      <c r="G648" s="23"/>
      <c r="H648" s="23"/>
    </row>
    <row r="649" spans="2:9">
      <c r="B649" s="23"/>
      <c r="C649" s="302" t="s">
        <v>136</v>
      </c>
      <c r="D649" s="310">
        <v>1</v>
      </c>
      <c r="E649" s="23"/>
      <c r="F649" s="23"/>
      <c r="G649" s="23"/>
      <c r="H649" s="23"/>
    </row>
    <row r="650" spans="2:9">
      <c r="B650" s="23"/>
      <c r="C650" s="302" t="s">
        <v>202</v>
      </c>
      <c r="D650" s="310">
        <v>1</v>
      </c>
      <c r="E650" s="23"/>
      <c r="F650" s="23"/>
      <c r="G650" s="23"/>
      <c r="H650" s="23"/>
    </row>
    <row r="651" spans="2:9">
      <c r="B651" s="23"/>
      <c r="C651" s="355"/>
      <c r="D651" s="304">
        <f>SUM(D647:D650)</f>
        <v>3</v>
      </c>
      <c r="E651" s="305" t="s">
        <v>128</v>
      </c>
      <c r="F651" s="23"/>
      <c r="G651" s="23"/>
      <c r="H651" s="23"/>
    </row>
    <row r="652" spans="2:9">
      <c r="B652" s="23"/>
      <c r="C652" s="355"/>
      <c r="D652" s="355"/>
      <c r="E652" s="23"/>
      <c r="F652" s="23"/>
      <c r="G652" s="23"/>
      <c r="H652" s="23"/>
    </row>
    <row r="653" spans="2:9" ht="12.75" customHeight="1">
      <c r="B653" s="523" t="s">
        <v>403</v>
      </c>
      <c r="C653" s="523"/>
      <c r="D653" s="523"/>
      <c r="E653" s="523"/>
      <c r="F653" s="523"/>
      <c r="G653" s="523"/>
      <c r="H653" s="523"/>
    </row>
    <row r="654" spans="2:9" ht="3.75" customHeight="1">
      <c r="B654" s="523"/>
      <c r="C654" s="523"/>
      <c r="D654" s="523"/>
      <c r="E654" s="523"/>
      <c r="F654" s="523"/>
      <c r="G654" s="523"/>
      <c r="H654" s="523"/>
    </row>
    <row r="655" spans="2:9" ht="12.75" customHeight="1">
      <c r="B655" s="23"/>
      <c r="C655" s="23"/>
      <c r="D655" s="23"/>
      <c r="E655" s="23"/>
      <c r="F655" s="23"/>
      <c r="G655" s="23"/>
      <c r="H655" s="23"/>
    </row>
    <row r="656" spans="2:9">
      <c r="B656" s="23"/>
      <c r="C656" s="301" t="s">
        <v>127</v>
      </c>
      <c r="D656" s="301" t="s">
        <v>122</v>
      </c>
      <c r="E656" s="23"/>
      <c r="F656" s="23"/>
      <c r="G656" s="23"/>
      <c r="H656" s="23"/>
    </row>
    <row r="657" spans="2:8">
      <c r="B657" s="23"/>
      <c r="C657" s="302" t="s">
        <v>164</v>
      </c>
      <c r="D657" s="310">
        <v>1</v>
      </c>
      <c r="E657" s="23"/>
      <c r="F657" s="23"/>
      <c r="G657" s="23"/>
      <c r="H657" s="23"/>
    </row>
    <row r="658" spans="2:8">
      <c r="B658" s="23"/>
      <c r="C658" s="302" t="s">
        <v>138</v>
      </c>
      <c r="D658" s="310">
        <v>1</v>
      </c>
      <c r="E658" s="23"/>
      <c r="F658" s="23"/>
      <c r="G658" s="23"/>
      <c r="H658" s="23"/>
    </row>
    <row r="659" spans="2:8">
      <c r="B659" s="23"/>
      <c r="C659" s="355"/>
      <c r="D659" s="304">
        <f>SUM(D656:D658)</f>
        <v>2</v>
      </c>
      <c r="E659" s="305" t="s">
        <v>128</v>
      </c>
      <c r="F659" s="23"/>
      <c r="G659" s="23"/>
      <c r="H659" s="23"/>
    </row>
    <row r="660" spans="2:8">
      <c r="B660" s="23"/>
      <c r="C660" s="355"/>
      <c r="D660" s="355"/>
      <c r="E660" s="23"/>
      <c r="F660" s="23"/>
      <c r="G660" s="23"/>
      <c r="H660" s="23"/>
    </row>
    <row r="661" spans="2:8" ht="21" customHeight="1">
      <c r="B661" s="523" t="s">
        <v>404</v>
      </c>
      <c r="C661" s="523"/>
      <c r="D661" s="523"/>
      <c r="E661" s="523"/>
      <c r="F661" s="523"/>
      <c r="G661" s="523"/>
      <c r="H661" s="359"/>
    </row>
    <row r="662" spans="2:8" ht="12.75" customHeight="1">
      <c r="B662" s="23"/>
      <c r="C662" s="23"/>
      <c r="D662" s="23"/>
      <c r="E662" s="23"/>
      <c r="F662" s="23"/>
      <c r="G662" s="23"/>
      <c r="H662" s="23"/>
    </row>
    <row r="663" spans="2:8">
      <c r="B663" s="23"/>
      <c r="C663" s="301" t="s">
        <v>127</v>
      </c>
      <c r="D663" s="301" t="s">
        <v>122</v>
      </c>
      <c r="E663" s="23"/>
      <c r="F663" s="23"/>
      <c r="G663" s="23"/>
      <c r="H663" s="23"/>
    </row>
    <row r="664" spans="2:8">
      <c r="B664" s="23"/>
      <c r="C664" s="302" t="s">
        <v>137</v>
      </c>
      <c r="D664" s="310">
        <v>2</v>
      </c>
      <c r="E664" s="23"/>
      <c r="F664" s="23"/>
      <c r="G664" s="23"/>
      <c r="H664" s="23"/>
    </row>
    <row r="665" spans="2:8">
      <c r="B665" s="23"/>
      <c r="C665" s="302" t="s">
        <v>136</v>
      </c>
      <c r="D665" s="310">
        <v>2</v>
      </c>
      <c r="E665" s="23"/>
      <c r="F665" s="23"/>
      <c r="G665" s="23"/>
      <c r="H665" s="23"/>
    </row>
    <row r="666" spans="2:8">
      <c r="B666" s="23"/>
      <c r="C666" s="302" t="s">
        <v>202</v>
      </c>
      <c r="D666" s="310">
        <v>1</v>
      </c>
      <c r="E666" s="23"/>
      <c r="F666" s="23"/>
      <c r="G666" s="23"/>
      <c r="H666" s="23"/>
    </row>
    <row r="667" spans="2:8">
      <c r="B667" s="23"/>
      <c r="C667" s="355"/>
      <c r="D667" s="304">
        <f>SUM(D663:D666)</f>
        <v>5</v>
      </c>
      <c r="E667" s="305" t="s">
        <v>128</v>
      </c>
      <c r="F667" s="23"/>
      <c r="G667" s="23"/>
      <c r="H667" s="23"/>
    </row>
    <row r="668" spans="2:8">
      <c r="B668" s="23"/>
      <c r="C668" s="355"/>
      <c r="D668" s="355"/>
      <c r="E668" s="23"/>
      <c r="F668" s="23"/>
      <c r="G668" s="23"/>
      <c r="H668" s="23"/>
    </row>
    <row r="669" spans="2:8">
      <c r="B669" s="299" t="s">
        <v>405</v>
      </c>
      <c r="C669" s="299"/>
      <c r="D669" s="299"/>
      <c r="E669" s="299"/>
      <c r="F669" s="299"/>
      <c r="G669" s="299"/>
      <c r="H669" s="299"/>
    </row>
    <row r="670" spans="2:8">
      <c r="B670" s="299"/>
      <c r="C670" s="299"/>
      <c r="D670" s="299"/>
      <c r="E670" s="299"/>
      <c r="F670" s="299"/>
      <c r="G670" s="299"/>
      <c r="H670" s="299"/>
    </row>
    <row r="671" spans="2:8">
      <c r="B671" s="23"/>
      <c r="C671" s="301" t="s">
        <v>127</v>
      </c>
      <c r="D671" s="301" t="s">
        <v>122</v>
      </c>
      <c r="E671" s="23"/>
      <c r="F671" s="23"/>
      <c r="G671" s="23"/>
      <c r="H671" s="23"/>
    </row>
    <row r="672" spans="2:8">
      <c r="B672" s="23"/>
      <c r="C672" s="302" t="s">
        <v>137</v>
      </c>
      <c r="D672" s="310">
        <v>1</v>
      </c>
      <c r="E672" s="23"/>
      <c r="F672" s="23"/>
      <c r="G672" s="23"/>
      <c r="H672" s="23"/>
    </row>
    <row r="673" spans="2:8">
      <c r="B673" s="23"/>
      <c r="C673" s="302" t="s">
        <v>136</v>
      </c>
      <c r="D673" s="310">
        <v>1</v>
      </c>
      <c r="E673" s="23"/>
      <c r="F673" s="23"/>
      <c r="G673" s="23"/>
      <c r="H673" s="23"/>
    </row>
    <row r="674" spans="2:8">
      <c r="B674" s="23"/>
      <c r="C674" s="23"/>
      <c r="D674" s="304">
        <f>SUM(D670:D673)</f>
        <v>2</v>
      </c>
      <c r="E674" s="305" t="s">
        <v>128</v>
      </c>
      <c r="F674" s="23"/>
      <c r="G674" s="23"/>
      <c r="H674" s="23"/>
    </row>
    <row r="675" spans="2:8">
      <c r="B675" s="23"/>
      <c r="C675" s="23"/>
      <c r="D675" s="23"/>
      <c r="E675" s="23"/>
      <c r="F675" s="23"/>
      <c r="G675" s="23"/>
      <c r="H675" s="23"/>
    </row>
    <row r="676" spans="2:8" ht="12.75" customHeight="1">
      <c r="B676" s="523" t="s">
        <v>406</v>
      </c>
      <c r="C676" s="523"/>
      <c r="D676" s="523"/>
      <c r="E676" s="523"/>
      <c r="F676" s="523"/>
      <c r="G676" s="523"/>
      <c r="H676" s="523"/>
    </row>
    <row r="677" spans="2:8" ht="15.75" customHeight="1">
      <c r="B677" s="523"/>
      <c r="C677" s="523"/>
      <c r="D677" s="523"/>
      <c r="E677" s="523"/>
      <c r="F677" s="523"/>
      <c r="G677" s="523"/>
      <c r="H677" s="523"/>
    </row>
    <row r="678" spans="2:8" ht="12.75" customHeight="1">
      <c r="B678" s="23"/>
      <c r="C678" s="23"/>
      <c r="D678" s="23"/>
      <c r="E678" s="23"/>
      <c r="F678" s="23"/>
      <c r="G678" s="23"/>
      <c r="H678" s="23"/>
    </row>
    <row r="679" spans="2:8">
      <c r="B679" s="23"/>
      <c r="C679" s="301" t="s">
        <v>127</v>
      </c>
      <c r="D679" s="301" t="s">
        <v>122</v>
      </c>
      <c r="E679" s="23"/>
      <c r="F679" s="23"/>
      <c r="G679" s="23"/>
      <c r="H679" s="23"/>
    </row>
    <row r="680" spans="2:8">
      <c r="B680" s="23"/>
      <c r="C680" s="302" t="s">
        <v>137</v>
      </c>
      <c r="D680" s="310">
        <v>2</v>
      </c>
      <c r="E680" s="23"/>
      <c r="F680" s="23"/>
      <c r="G680" s="23"/>
      <c r="H680" s="23"/>
    </row>
    <row r="681" spans="2:8">
      <c r="B681" s="23"/>
      <c r="C681" s="302" t="s">
        <v>136</v>
      </c>
      <c r="D681" s="310">
        <v>2</v>
      </c>
      <c r="E681" s="23"/>
      <c r="F681" s="23"/>
      <c r="G681" s="23"/>
      <c r="H681" s="23"/>
    </row>
    <row r="682" spans="2:8">
      <c r="B682" s="23"/>
      <c r="C682" s="302" t="s">
        <v>202</v>
      </c>
      <c r="D682" s="310">
        <v>2</v>
      </c>
      <c r="E682" s="23"/>
      <c r="F682" s="23"/>
      <c r="G682" s="23"/>
      <c r="H682" s="23"/>
    </row>
    <row r="683" spans="2:8">
      <c r="B683" s="23"/>
      <c r="C683" s="355"/>
      <c r="D683" s="304">
        <f>SUM(D679:D682)</f>
        <v>6</v>
      </c>
      <c r="E683" s="305" t="s">
        <v>128</v>
      </c>
      <c r="F683" s="23"/>
      <c r="G683" s="23"/>
      <c r="H683" s="23"/>
    </row>
    <row r="684" spans="2:8">
      <c r="B684" s="23"/>
      <c r="C684" s="355"/>
      <c r="D684" s="355"/>
      <c r="E684" s="23"/>
      <c r="F684" s="23"/>
      <c r="G684" s="23"/>
      <c r="H684" s="23"/>
    </row>
    <row r="685" spans="2:8">
      <c r="B685" s="523" t="s">
        <v>407</v>
      </c>
      <c r="C685" s="523"/>
      <c r="D685" s="523"/>
      <c r="E685" s="523"/>
      <c r="F685" s="523"/>
      <c r="G685" s="523"/>
      <c r="H685" s="523"/>
    </row>
    <row r="686" spans="2:8" ht="15.75" customHeight="1">
      <c r="B686" s="523"/>
      <c r="C686" s="523"/>
      <c r="D686" s="523"/>
      <c r="E686" s="523"/>
      <c r="F686" s="523"/>
      <c r="G686" s="523"/>
      <c r="H686" s="523"/>
    </row>
    <row r="687" spans="2:8">
      <c r="B687" s="23"/>
      <c r="C687" s="23"/>
      <c r="D687" s="23"/>
      <c r="E687" s="23"/>
      <c r="F687" s="23"/>
      <c r="G687" s="23"/>
      <c r="H687" s="23"/>
    </row>
    <row r="688" spans="2:8">
      <c r="B688" s="23"/>
      <c r="C688" s="301" t="s">
        <v>127</v>
      </c>
      <c r="D688" s="301" t="s">
        <v>122</v>
      </c>
      <c r="E688" s="23"/>
      <c r="F688" s="23"/>
      <c r="G688" s="23"/>
      <c r="H688" s="23"/>
    </row>
    <row r="689" spans="2:8">
      <c r="B689" s="23"/>
      <c r="C689" s="302" t="s">
        <v>202</v>
      </c>
      <c r="D689" s="310">
        <v>1</v>
      </c>
      <c r="E689" s="23"/>
      <c r="F689" s="23"/>
      <c r="G689" s="23"/>
      <c r="H689" s="23"/>
    </row>
    <row r="690" spans="2:8">
      <c r="B690" s="23"/>
      <c r="C690" s="355"/>
      <c r="D690" s="304">
        <f>SUM(D688:D689)</f>
        <v>1</v>
      </c>
      <c r="E690" s="305" t="s">
        <v>129</v>
      </c>
      <c r="F690" s="23"/>
      <c r="G690" s="23"/>
      <c r="H690" s="23"/>
    </row>
    <row r="691" spans="2:8">
      <c r="B691" s="23"/>
      <c r="C691" s="23"/>
      <c r="D691" s="23"/>
      <c r="E691" s="23"/>
      <c r="F691" s="23"/>
      <c r="G691" s="23"/>
      <c r="H691" s="23"/>
    </row>
    <row r="692" spans="2:8" s="26" customFormat="1" ht="18.75">
      <c r="B692" s="25" t="s">
        <v>408</v>
      </c>
      <c r="C692" s="25"/>
      <c r="D692" s="25"/>
      <c r="E692" s="28"/>
      <c r="F692" s="28"/>
      <c r="G692" s="28"/>
      <c r="H692" s="28"/>
    </row>
    <row r="693" spans="2:8">
      <c r="B693" s="23"/>
      <c r="C693" s="23"/>
      <c r="D693" s="23"/>
      <c r="E693" s="23"/>
      <c r="F693" s="23"/>
      <c r="G693" s="23"/>
      <c r="H693" s="23"/>
    </row>
    <row r="694" spans="2:8">
      <c r="B694" s="524" t="s">
        <v>409</v>
      </c>
      <c r="C694" s="524"/>
      <c r="D694" s="524"/>
      <c r="E694" s="524"/>
      <c r="F694" s="524"/>
      <c r="G694" s="524"/>
      <c r="H694" s="299"/>
    </row>
    <row r="695" spans="2:8">
      <c r="B695" s="23"/>
      <c r="C695" s="23"/>
      <c r="D695" s="346"/>
      <c r="E695" s="297"/>
      <c r="F695" s="23"/>
      <c r="G695" s="23"/>
      <c r="H695" s="23"/>
    </row>
    <row r="696" spans="2:8">
      <c r="B696" s="23"/>
      <c r="C696" s="301" t="s">
        <v>127</v>
      </c>
      <c r="D696" s="301" t="s">
        <v>122</v>
      </c>
      <c r="E696" s="23"/>
      <c r="F696" s="23"/>
      <c r="G696" s="23"/>
      <c r="H696" s="23"/>
    </row>
    <row r="697" spans="2:8">
      <c r="B697" s="23"/>
      <c r="C697" s="301" t="s">
        <v>130</v>
      </c>
      <c r="D697" s="310">
        <v>14</v>
      </c>
      <c r="E697" s="23"/>
      <c r="F697" s="23"/>
      <c r="G697" s="23"/>
      <c r="H697" s="23"/>
    </row>
    <row r="698" spans="2:8">
      <c r="B698" s="23"/>
      <c r="C698" s="301" t="s">
        <v>149</v>
      </c>
      <c r="D698" s="310">
        <v>6</v>
      </c>
      <c r="E698" s="23"/>
      <c r="F698" s="23"/>
      <c r="G698" s="23"/>
      <c r="H698" s="23"/>
    </row>
    <row r="699" spans="2:8">
      <c r="B699" s="23"/>
      <c r="C699" s="301" t="s">
        <v>131</v>
      </c>
      <c r="D699" s="310">
        <v>5</v>
      </c>
      <c r="E699" s="23"/>
      <c r="F699" s="23"/>
      <c r="G699" s="23"/>
      <c r="H699" s="23"/>
    </row>
    <row r="700" spans="2:8">
      <c r="B700" s="23"/>
      <c r="C700" s="302" t="s">
        <v>137</v>
      </c>
      <c r="D700" s="310">
        <v>1</v>
      </c>
      <c r="E700" s="23"/>
      <c r="F700" s="23"/>
      <c r="G700" s="23"/>
      <c r="H700" s="23"/>
    </row>
    <row r="701" spans="2:8">
      <c r="B701" s="23"/>
      <c r="C701" s="302" t="s">
        <v>136</v>
      </c>
      <c r="D701" s="310">
        <v>1</v>
      </c>
      <c r="E701" s="23"/>
      <c r="F701" s="23"/>
      <c r="G701" s="23"/>
      <c r="H701" s="23"/>
    </row>
    <row r="702" spans="2:8" ht="31.5">
      <c r="B702" s="23"/>
      <c r="C702" s="302" t="s">
        <v>132</v>
      </c>
      <c r="D702" s="310">
        <v>6</v>
      </c>
      <c r="E702" s="23"/>
      <c r="F702" s="23"/>
      <c r="G702" s="23"/>
      <c r="H702" s="23"/>
    </row>
    <row r="703" spans="2:8">
      <c r="B703" s="23"/>
      <c r="C703" s="302" t="s">
        <v>133</v>
      </c>
      <c r="D703" s="303">
        <v>10</v>
      </c>
      <c r="E703" s="23"/>
      <c r="F703" s="23"/>
      <c r="G703" s="23"/>
      <c r="H703" s="23"/>
    </row>
    <row r="704" spans="2:8">
      <c r="B704" s="23"/>
      <c r="C704" s="302" t="s">
        <v>134</v>
      </c>
      <c r="D704" s="310">
        <v>8</v>
      </c>
      <c r="E704" s="23"/>
      <c r="F704" s="23"/>
      <c r="G704" s="23"/>
      <c r="H704" s="23"/>
    </row>
    <row r="705" spans="2:8">
      <c r="B705" s="23"/>
      <c r="C705" s="302" t="s">
        <v>202</v>
      </c>
      <c r="D705" s="310">
        <v>3</v>
      </c>
      <c r="E705" s="23"/>
      <c r="F705" s="23"/>
      <c r="G705" s="23"/>
      <c r="H705" s="23"/>
    </row>
    <row r="706" spans="2:8">
      <c r="B706" s="23"/>
      <c r="C706" s="302" t="s">
        <v>138</v>
      </c>
      <c r="D706" s="310">
        <v>1</v>
      </c>
      <c r="E706" s="23"/>
      <c r="F706" s="23"/>
      <c r="G706" s="23"/>
      <c r="H706" s="23"/>
    </row>
    <row r="707" spans="2:8">
      <c r="B707" s="23"/>
      <c r="C707" s="23"/>
      <c r="D707" s="304">
        <f>SUM(D695:D706)</f>
        <v>55</v>
      </c>
      <c r="E707" s="305" t="s">
        <v>128</v>
      </c>
      <c r="F707" s="23"/>
      <c r="G707" s="23"/>
      <c r="H707" s="23"/>
    </row>
    <row r="708" spans="2:8">
      <c r="B708" s="23"/>
      <c r="C708" s="23"/>
      <c r="D708" s="346"/>
      <c r="E708" s="297"/>
      <c r="F708" s="23"/>
      <c r="G708" s="23"/>
      <c r="H708" s="23"/>
    </row>
    <row r="709" spans="2:8">
      <c r="B709" s="524" t="s">
        <v>410</v>
      </c>
      <c r="C709" s="524"/>
      <c r="D709" s="524"/>
      <c r="E709" s="524"/>
      <c r="F709" s="524"/>
      <c r="G709" s="524"/>
      <c r="H709" s="299"/>
    </row>
    <row r="710" spans="2:8">
      <c r="B710" s="23"/>
      <c r="C710" s="23"/>
      <c r="D710" s="23"/>
      <c r="E710" s="23"/>
      <c r="F710" s="23"/>
      <c r="G710" s="23"/>
      <c r="H710" s="23"/>
    </row>
    <row r="711" spans="2:8">
      <c r="B711" s="23"/>
      <c r="C711" s="301" t="s">
        <v>127</v>
      </c>
      <c r="D711" s="301" t="s">
        <v>122</v>
      </c>
      <c r="E711" s="23"/>
      <c r="F711" s="23"/>
      <c r="G711" s="23"/>
      <c r="H711" s="23"/>
    </row>
    <row r="712" spans="2:8">
      <c r="B712" s="23"/>
      <c r="C712" s="301" t="s">
        <v>130</v>
      </c>
      <c r="D712" s="310">
        <v>6</v>
      </c>
      <c r="E712" s="23"/>
      <c r="F712" s="23"/>
      <c r="G712" s="23"/>
      <c r="H712" s="23"/>
    </row>
    <row r="713" spans="2:8">
      <c r="B713" s="23"/>
      <c r="C713" s="301" t="s">
        <v>149</v>
      </c>
      <c r="D713" s="310">
        <v>2</v>
      </c>
      <c r="E713" s="23"/>
      <c r="F713" s="23"/>
      <c r="G713" s="23"/>
      <c r="H713" s="23"/>
    </row>
    <row r="714" spans="2:8">
      <c r="B714" s="23"/>
      <c r="C714" s="301" t="s">
        <v>131</v>
      </c>
      <c r="D714" s="310">
        <v>1</v>
      </c>
      <c r="E714" s="23"/>
      <c r="F714" s="23"/>
      <c r="G714" s="23"/>
      <c r="H714" s="23"/>
    </row>
    <row r="715" spans="2:8">
      <c r="B715" s="23"/>
      <c r="C715" s="302" t="s">
        <v>137</v>
      </c>
      <c r="D715" s="310">
        <v>1</v>
      </c>
      <c r="E715" s="23"/>
      <c r="F715" s="23"/>
      <c r="G715" s="23"/>
      <c r="H715" s="23"/>
    </row>
    <row r="716" spans="2:8">
      <c r="B716" s="23"/>
      <c r="C716" s="302" t="s">
        <v>136</v>
      </c>
      <c r="D716" s="310">
        <v>1</v>
      </c>
      <c r="E716" s="23"/>
      <c r="F716" s="23"/>
      <c r="G716" s="23"/>
      <c r="H716" s="23"/>
    </row>
    <row r="717" spans="2:8" ht="31.5">
      <c r="B717" s="23"/>
      <c r="C717" s="302" t="s">
        <v>132</v>
      </c>
      <c r="D717" s="310">
        <v>1</v>
      </c>
      <c r="E717" s="23"/>
      <c r="F717" s="23"/>
      <c r="G717" s="23"/>
      <c r="H717" s="23"/>
    </row>
    <row r="718" spans="2:8">
      <c r="B718" s="23"/>
      <c r="C718" s="302" t="s">
        <v>133</v>
      </c>
      <c r="D718" s="303">
        <v>1</v>
      </c>
      <c r="E718" s="23"/>
      <c r="F718" s="23"/>
      <c r="G718" s="23"/>
      <c r="H718" s="23"/>
    </row>
    <row r="719" spans="2:8">
      <c r="B719" s="23"/>
      <c r="C719" s="302" t="s">
        <v>134</v>
      </c>
      <c r="D719" s="310">
        <v>1</v>
      </c>
      <c r="E719" s="23"/>
      <c r="F719" s="23"/>
      <c r="G719" s="23"/>
      <c r="H719" s="23"/>
    </row>
    <row r="720" spans="2:8">
      <c r="B720" s="23"/>
      <c r="C720" s="302" t="s">
        <v>202</v>
      </c>
      <c r="D720" s="310">
        <v>1</v>
      </c>
      <c r="E720" s="23"/>
      <c r="F720" s="23"/>
      <c r="G720" s="23"/>
      <c r="H720" s="23"/>
    </row>
    <row r="721" spans="2:8">
      <c r="B721" s="23"/>
      <c r="C721" s="302" t="s">
        <v>138</v>
      </c>
      <c r="D721" s="310">
        <v>1</v>
      </c>
      <c r="E721" s="23"/>
      <c r="F721" s="23"/>
      <c r="G721" s="23"/>
      <c r="H721" s="23"/>
    </row>
    <row r="722" spans="2:8">
      <c r="B722" s="23"/>
      <c r="C722" s="23"/>
      <c r="D722" s="304">
        <f>SUM(D710:D721)</f>
        <v>16</v>
      </c>
      <c r="E722" s="305" t="s">
        <v>128</v>
      </c>
      <c r="F722" s="23"/>
      <c r="G722" s="23"/>
      <c r="H722" s="23"/>
    </row>
    <row r="723" spans="2:8">
      <c r="B723" s="23"/>
      <c r="C723" s="23"/>
      <c r="D723" s="346"/>
      <c r="E723" s="297"/>
      <c r="F723" s="23"/>
      <c r="G723" s="23"/>
      <c r="H723" s="23"/>
    </row>
    <row r="724" spans="2:8">
      <c r="B724" s="524" t="s">
        <v>411</v>
      </c>
      <c r="C724" s="524"/>
      <c r="D724" s="524"/>
      <c r="E724" s="524"/>
      <c r="F724" s="524"/>
      <c r="G724" s="524"/>
      <c r="H724" s="299"/>
    </row>
    <row r="725" spans="2:8">
      <c r="B725" s="23"/>
      <c r="C725" s="23"/>
      <c r="D725" s="23"/>
      <c r="E725" s="23"/>
      <c r="F725" s="23"/>
      <c r="G725" s="23"/>
      <c r="H725" s="23"/>
    </row>
    <row r="726" spans="2:8">
      <c r="B726" s="23"/>
      <c r="C726" s="301" t="s">
        <v>127</v>
      </c>
      <c r="D726" s="301" t="s">
        <v>122</v>
      </c>
      <c r="E726" s="23"/>
      <c r="F726" s="23"/>
      <c r="G726" s="23"/>
      <c r="H726" s="23"/>
    </row>
    <row r="727" spans="2:8">
      <c r="B727" s="23"/>
      <c r="C727" s="301" t="s">
        <v>130</v>
      </c>
      <c r="D727" s="310">
        <v>17</v>
      </c>
      <c r="E727" s="23"/>
      <c r="F727" s="23"/>
      <c r="G727" s="23"/>
      <c r="H727" s="23"/>
    </row>
    <row r="728" spans="2:8">
      <c r="B728" s="23"/>
      <c r="C728" s="301" t="s">
        <v>149</v>
      </c>
      <c r="D728" s="310">
        <v>6</v>
      </c>
      <c r="E728" s="23"/>
      <c r="F728" s="23"/>
      <c r="G728" s="23"/>
      <c r="H728" s="23"/>
    </row>
    <row r="729" spans="2:8">
      <c r="B729" s="23"/>
      <c r="C729" s="301" t="s">
        <v>131</v>
      </c>
      <c r="D729" s="310">
        <v>6</v>
      </c>
      <c r="E729" s="23"/>
      <c r="F729" s="23"/>
      <c r="G729" s="23"/>
      <c r="H729" s="23"/>
    </row>
    <row r="730" spans="2:8">
      <c r="B730" s="23"/>
      <c r="C730" s="302" t="s">
        <v>137</v>
      </c>
      <c r="D730" s="310">
        <v>1</v>
      </c>
      <c r="E730" s="23"/>
      <c r="F730" s="23"/>
      <c r="G730" s="23"/>
      <c r="H730" s="23"/>
    </row>
    <row r="731" spans="2:8">
      <c r="B731" s="23"/>
      <c r="C731" s="302" t="s">
        <v>136</v>
      </c>
      <c r="D731" s="310">
        <v>1</v>
      </c>
      <c r="E731" s="23"/>
      <c r="F731" s="23"/>
      <c r="G731" s="23"/>
      <c r="H731" s="23"/>
    </row>
    <row r="732" spans="2:8" ht="31.5">
      <c r="B732" s="23"/>
      <c r="C732" s="302" t="s">
        <v>132</v>
      </c>
      <c r="D732" s="310">
        <v>2</v>
      </c>
      <c r="E732" s="23"/>
      <c r="F732" s="23"/>
      <c r="G732" s="23"/>
      <c r="H732" s="23"/>
    </row>
    <row r="733" spans="2:8">
      <c r="B733" s="23"/>
      <c r="C733" s="302" t="s">
        <v>133</v>
      </c>
      <c r="D733" s="303">
        <v>2</v>
      </c>
      <c r="E733" s="23"/>
      <c r="F733" s="23"/>
      <c r="G733" s="23"/>
      <c r="H733" s="23"/>
    </row>
    <row r="734" spans="2:8">
      <c r="B734" s="23"/>
      <c r="C734" s="302" t="s">
        <v>134</v>
      </c>
      <c r="D734" s="310">
        <v>2</v>
      </c>
      <c r="E734" s="23"/>
      <c r="F734" s="23"/>
      <c r="G734" s="23"/>
      <c r="H734" s="23"/>
    </row>
    <row r="735" spans="2:8">
      <c r="B735" s="23"/>
      <c r="C735" s="302" t="s">
        <v>202</v>
      </c>
      <c r="D735" s="310">
        <v>1</v>
      </c>
      <c r="E735" s="23"/>
      <c r="F735" s="23"/>
      <c r="G735" s="23"/>
      <c r="H735" s="23"/>
    </row>
    <row r="736" spans="2:8">
      <c r="B736" s="23"/>
      <c r="C736" s="302" t="s">
        <v>138</v>
      </c>
      <c r="D736" s="310">
        <v>2</v>
      </c>
      <c r="E736" s="23"/>
      <c r="F736" s="23"/>
      <c r="G736" s="23"/>
      <c r="H736" s="23"/>
    </row>
    <row r="737" spans="2:8">
      <c r="B737" s="23"/>
      <c r="C737" s="23"/>
      <c r="D737" s="304">
        <f>SUM(D725:D736)</f>
        <v>40</v>
      </c>
      <c r="E737" s="305" t="s">
        <v>128</v>
      </c>
      <c r="F737" s="23"/>
      <c r="G737" s="23"/>
      <c r="H737" s="23"/>
    </row>
    <row r="738" spans="2:8">
      <c r="B738" s="23"/>
      <c r="C738" s="23"/>
      <c r="D738" s="23"/>
      <c r="E738" s="23"/>
      <c r="F738" s="23"/>
      <c r="G738" s="23"/>
      <c r="H738" s="23"/>
    </row>
    <row r="739" spans="2:8">
      <c r="B739" s="524" t="s">
        <v>412</v>
      </c>
      <c r="C739" s="524"/>
      <c r="D739" s="524"/>
      <c r="E739" s="524"/>
      <c r="F739" s="524"/>
      <c r="G739" s="524"/>
      <c r="H739" s="524"/>
    </row>
    <row r="740" spans="2:8">
      <c r="B740" s="23"/>
      <c r="C740" s="23"/>
      <c r="D740" s="23"/>
      <c r="E740" s="23"/>
      <c r="F740" s="23"/>
      <c r="G740" s="23"/>
      <c r="H740" s="23"/>
    </row>
    <row r="741" spans="2:8">
      <c r="B741" s="23"/>
      <c r="C741" s="301" t="s">
        <v>127</v>
      </c>
      <c r="D741" s="301" t="s">
        <v>122</v>
      </c>
      <c r="E741" s="23"/>
      <c r="F741" s="23"/>
      <c r="G741" s="23"/>
      <c r="H741" s="23"/>
    </row>
    <row r="742" spans="2:8" ht="18" customHeight="1">
      <c r="B742" s="360"/>
      <c r="C742" s="317" t="s">
        <v>275</v>
      </c>
      <c r="D742" s="304">
        <v>3</v>
      </c>
      <c r="E742" s="305" t="s">
        <v>128</v>
      </c>
      <c r="F742" s="23"/>
      <c r="G742" s="23"/>
      <c r="H742" s="23"/>
    </row>
    <row r="743" spans="2:8">
      <c r="B743" s="23"/>
      <c r="C743" s="350"/>
      <c r="D743" s="346"/>
      <c r="E743" s="297"/>
      <c r="F743" s="23"/>
      <c r="G743" s="23"/>
      <c r="H743" s="23"/>
    </row>
    <row r="744" spans="2:8" ht="33.75" customHeight="1">
      <c r="B744" s="523" t="s">
        <v>413</v>
      </c>
      <c r="C744" s="523"/>
      <c r="D744" s="523"/>
      <c r="E744" s="523"/>
      <c r="F744" s="523"/>
      <c r="G744" s="523"/>
      <c r="H744" s="523"/>
    </row>
    <row r="745" spans="2:8">
      <c r="B745" s="23"/>
      <c r="C745" s="23"/>
      <c r="D745" s="23"/>
      <c r="E745" s="23"/>
      <c r="F745" s="23"/>
      <c r="G745" s="23"/>
      <c r="H745" s="23"/>
    </row>
    <row r="746" spans="2:8">
      <c r="B746" s="23"/>
      <c r="C746" s="301" t="s">
        <v>127</v>
      </c>
      <c r="D746" s="301" t="s">
        <v>122</v>
      </c>
      <c r="E746" s="23"/>
      <c r="F746" s="23"/>
      <c r="G746" s="23"/>
      <c r="H746" s="23"/>
    </row>
    <row r="747" spans="2:8">
      <c r="B747" s="23"/>
      <c r="C747" s="302" t="s">
        <v>135</v>
      </c>
      <c r="D747" s="310">
        <v>1</v>
      </c>
      <c r="E747" s="23"/>
      <c r="F747" s="23"/>
      <c r="G747" s="23"/>
      <c r="H747" s="23"/>
    </row>
    <row r="748" spans="2:8">
      <c r="B748" s="23"/>
      <c r="C748" s="302" t="s">
        <v>138</v>
      </c>
      <c r="D748" s="310">
        <v>2</v>
      </c>
      <c r="E748" s="23"/>
      <c r="F748" s="23"/>
      <c r="G748" s="23"/>
      <c r="H748" s="23"/>
    </row>
    <row r="749" spans="2:8">
      <c r="B749" s="23"/>
      <c r="C749" s="23"/>
      <c r="D749" s="304">
        <f>SUM(D747:D748)</f>
        <v>3</v>
      </c>
      <c r="E749" s="305" t="s">
        <v>128</v>
      </c>
      <c r="F749" s="23"/>
      <c r="G749" s="23"/>
      <c r="H749" s="23"/>
    </row>
    <row r="750" spans="2:8">
      <c r="B750" s="23"/>
      <c r="C750" s="350"/>
      <c r="D750" s="346"/>
      <c r="E750" s="297"/>
      <c r="F750" s="23"/>
      <c r="G750" s="23"/>
      <c r="H750" s="23"/>
    </row>
    <row r="751" spans="2:8" ht="33.75" customHeight="1">
      <c r="B751" s="523" t="s">
        <v>414</v>
      </c>
      <c r="C751" s="523"/>
      <c r="D751" s="523"/>
      <c r="E751" s="523"/>
      <c r="F751" s="523"/>
      <c r="G751" s="523"/>
      <c r="H751" s="523"/>
    </row>
    <row r="752" spans="2:8">
      <c r="B752" s="23"/>
      <c r="C752" s="23"/>
      <c r="D752" s="23"/>
      <c r="E752" s="23"/>
      <c r="F752" s="23"/>
      <c r="G752" s="23"/>
      <c r="H752" s="23"/>
    </row>
    <row r="753" spans="2:8">
      <c r="B753" s="23"/>
      <c r="C753" s="301" t="s">
        <v>127</v>
      </c>
      <c r="D753" s="301" t="s">
        <v>122</v>
      </c>
      <c r="E753" s="23"/>
      <c r="F753" s="23"/>
      <c r="G753" s="23"/>
      <c r="H753" s="23"/>
    </row>
    <row r="754" spans="2:8">
      <c r="B754" s="23"/>
      <c r="C754" s="302" t="s">
        <v>275</v>
      </c>
      <c r="D754" s="310">
        <v>3</v>
      </c>
      <c r="E754" s="23"/>
      <c r="F754" s="23"/>
      <c r="G754" s="23"/>
      <c r="H754" s="23"/>
    </row>
    <row r="755" spans="2:8">
      <c r="B755" s="23"/>
      <c r="C755" s="23"/>
      <c r="D755" s="304">
        <f>SUM(D754:D754)</f>
        <v>3</v>
      </c>
      <c r="E755" s="305" t="s">
        <v>128</v>
      </c>
      <c r="F755" s="23"/>
      <c r="G755" s="23"/>
      <c r="H755" s="23"/>
    </row>
    <row r="756" spans="2:8">
      <c r="B756" s="23"/>
      <c r="C756" s="350"/>
      <c r="D756" s="346"/>
      <c r="E756" s="297"/>
      <c r="F756" s="23"/>
      <c r="G756" s="23"/>
      <c r="H756" s="23"/>
    </row>
    <row r="757" spans="2:8" ht="18.75" customHeight="1">
      <c r="B757" s="523" t="s">
        <v>416</v>
      </c>
      <c r="C757" s="523"/>
      <c r="D757" s="523"/>
      <c r="E757" s="523"/>
      <c r="F757" s="523"/>
      <c r="G757" s="523"/>
      <c r="H757" s="523"/>
    </row>
    <row r="758" spans="2:8">
      <c r="B758" s="23"/>
      <c r="C758" s="23"/>
      <c r="D758" s="23"/>
      <c r="E758" s="23"/>
      <c r="F758" s="23"/>
      <c r="G758" s="23"/>
      <c r="H758" s="23"/>
    </row>
    <row r="759" spans="2:8">
      <c r="B759" s="23"/>
      <c r="C759" s="301" t="s">
        <v>127</v>
      </c>
      <c r="D759" s="301" t="s">
        <v>122</v>
      </c>
      <c r="E759" s="23"/>
      <c r="F759" s="23"/>
      <c r="G759" s="23"/>
      <c r="H759" s="23"/>
    </row>
    <row r="760" spans="2:8">
      <c r="B760" s="23"/>
      <c r="C760" s="302" t="s">
        <v>138</v>
      </c>
      <c r="D760" s="310">
        <v>1</v>
      </c>
      <c r="E760" s="23"/>
      <c r="F760" s="23"/>
      <c r="G760" s="23"/>
      <c r="H760" s="23"/>
    </row>
    <row r="761" spans="2:8">
      <c r="B761" s="23"/>
      <c r="C761" s="23"/>
      <c r="D761" s="304">
        <f>SUM(D760:D760)</f>
        <v>1</v>
      </c>
      <c r="E761" s="305" t="s">
        <v>129</v>
      </c>
      <c r="F761" s="23"/>
      <c r="G761" s="23"/>
      <c r="H761" s="23"/>
    </row>
    <row r="762" spans="2:8">
      <c r="B762" s="23"/>
      <c r="C762" s="350"/>
      <c r="D762" s="346"/>
      <c r="E762" s="297"/>
      <c r="F762" s="23"/>
      <c r="G762" s="23"/>
      <c r="H762" s="23"/>
    </row>
    <row r="763" spans="2:8" ht="18" customHeight="1">
      <c r="B763" s="523" t="s">
        <v>415</v>
      </c>
      <c r="C763" s="523"/>
      <c r="D763" s="523"/>
      <c r="E763" s="523"/>
      <c r="F763" s="523"/>
      <c r="G763" s="523"/>
      <c r="H763" s="523"/>
    </row>
    <row r="764" spans="2:8">
      <c r="B764" s="23"/>
      <c r="C764" s="23"/>
      <c r="D764" s="23"/>
      <c r="E764" s="23"/>
      <c r="F764" s="23"/>
      <c r="G764" s="23"/>
      <c r="H764" s="23"/>
    </row>
    <row r="765" spans="2:8">
      <c r="B765" s="23"/>
      <c r="C765" s="301" t="s">
        <v>127</v>
      </c>
      <c r="D765" s="301" t="s">
        <v>122</v>
      </c>
      <c r="E765" s="23"/>
      <c r="F765" s="23"/>
      <c r="G765" s="23"/>
      <c r="H765" s="23"/>
    </row>
    <row r="766" spans="2:8">
      <c r="B766" s="23"/>
      <c r="C766" s="302" t="s">
        <v>137</v>
      </c>
      <c r="D766" s="310">
        <v>1</v>
      </c>
      <c r="E766" s="23"/>
      <c r="F766" s="23"/>
      <c r="G766" s="23"/>
      <c r="H766" s="23"/>
    </row>
    <row r="767" spans="2:8">
      <c r="B767" s="23"/>
      <c r="C767" s="302" t="s">
        <v>136</v>
      </c>
      <c r="D767" s="310">
        <v>1</v>
      </c>
      <c r="E767" s="23"/>
      <c r="F767" s="23"/>
      <c r="G767" s="23"/>
      <c r="H767" s="23"/>
    </row>
    <row r="768" spans="2:8">
      <c r="B768" s="23"/>
      <c r="C768" s="23"/>
      <c r="D768" s="304">
        <f>SUM(D766:D767)</f>
        <v>2</v>
      </c>
      <c r="E768" s="305" t="s">
        <v>128</v>
      </c>
      <c r="F768" s="23"/>
      <c r="G768" s="23"/>
      <c r="H768" s="23"/>
    </row>
    <row r="769" spans="2:8">
      <c r="B769" s="23"/>
      <c r="C769" s="350"/>
      <c r="D769" s="346"/>
      <c r="E769" s="297"/>
      <c r="F769" s="23"/>
      <c r="G769" s="23"/>
      <c r="H769" s="23"/>
    </row>
    <row r="770" spans="2:8">
      <c r="B770" s="524" t="s">
        <v>417</v>
      </c>
      <c r="C770" s="524"/>
      <c r="D770" s="524"/>
      <c r="E770" s="524"/>
      <c r="F770" s="524"/>
      <c r="G770" s="299"/>
      <c r="H770" s="299"/>
    </row>
    <row r="771" spans="2:8">
      <c r="B771" s="23"/>
      <c r="C771" s="23"/>
      <c r="D771" s="346"/>
      <c r="E771" s="297"/>
      <c r="F771" s="23"/>
      <c r="G771" s="23"/>
      <c r="H771" s="23"/>
    </row>
    <row r="772" spans="2:8">
      <c r="B772" s="23"/>
      <c r="C772" s="301" t="s">
        <v>127</v>
      </c>
      <c r="D772" s="301" t="s">
        <v>122</v>
      </c>
      <c r="E772" s="23"/>
      <c r="F772" s="23"/>
      <c r="G772" s="23"/>
      <c r="H772" s="23"/>
    </row>
    <row r="773" spans="2:8">
      <c r="B773" s="23"/>
      <c r="C773" s="301" t="s">
        <v>130</v>
      </c>
      <c r="D773" s="310">
        <v>4</v>
      </c>
      <c r="E773" s="23"/>
      <c r="F773" s="23"/>
      <c r="G773" s="23"/>
      <c r="H773" s="23"/>
    </row>
    <row r="774" spans="2:8">
      <c r="B774" s="23"/>
      <c r="C774" s="23"/>
      <c r="D774" s="304">
        <f>SUM(D771:D773)</f>
        <v>4</v>
      </c>
      <c r="E774" s="305" t="s">
        <v>128</v>
      </c>
      <c r="F774" s="23"/>
      <c r="G774" s="23"/>
      <c r="H774" s="23"/>
    </row>
    <row r="775" spans="2:8">
      <c r="B775" s="23"/>
      <c r="C775" s="23"/>
      <c r="D775" s="346"/>
      <c r="E775" s="297"/>
      <c r="F775" s="23"/>
      <c r="G775" s="23"/>
      <c r="H775" s="23"/>
    </row>
    <row r="776" spans="2:8">
      <c r="B776" s="524" t="s">
        <v>418</v>
      </c>
      <c r="C776" s="524"/>
      <c r="D776" s="524"/>
      <c r="E776" s="524"/>
      <c r="F776" s="524"/>
      <c r="G776" s="299"/>
      <c r="H776" s="299"/>
    </row>
    <row r="777" spans="2:8">
      <c r="B777" s="23"/>
      <c r="C777" s="23"/>
      <c r="D777" s="346"/>
      <c r="E777" s="297"/>
      <c r="F777" s="23"/>
      <c r="G777" s="23"/>
      <c r="H777" s="23"/>
    </row>
    <row r="778" spans="2:8">
      <c r="B778" s="23"/>
      <c r="C778" s="301" t="s">
        <v>127</v>
      </c>
      <c r="D778" s="301" t="s">
        <v>122</v>
      </c>
      <c r="E778" s="23"/>
      <c r="F778" s="23"/>
      <c r="G778" s="23"/>
      <c r="H778" s="23"/>
    </row>
    <row r="779" spans="2:8">
      <c r="B779" s="23"/>
      <c r="C779" s="301" t="s">
        <v>138</v>
      </c>
      <c r="D779" s="310">
        <v>1</v>
      </c>
      <c r="E779" s="23"/>
      <c r="F779" s="23"/>
      <c r="G779" s="23"/>
      <c r="H779" s="23"/>
    </row>
    <row r="780" spans="2:8">
      <c r="B780" s="23"/>
      <c r="C780" s="23"/>
      <c r="D780" s="304">
        <f>SUM(D777:D779)</f>
        <v>1</v>
      </c>
      <c r="E780" s="305" t="s">
        <v>129</v>
      </c>
      <c r="F780" s="23"/>
      <c r="G780" s="23"/>
      <c r="H780" s="23"/>
    </row>
    <row r="781" spans="2:8">
      <c r="B781" s="23"/>
      <c r="C781" s="23"/>
      <c r="D781" s="346"/>
      <c r="E781" s="297"/>
      <c r="F781" s="23"/>
      <c r="G781" s="23"/>
      <c r="H781" s="23"/>
    </row>
    <row r="782" spans="2:8" ht="18" customHeight="1">
      <c r="B782" s="523" t="s">
        <v>419</v>
      </c>
      <c r="C782" s="523"/>
      <c r="D782" s="523"/>
      <c r="E782" s="523"/>
      <c r="F782" s="523"/>
      <c r="G782" s="523"/>
      <c r="H782" s="523"/>
    </row>
    <row r="783" spans="2:8">
      <c r="B783" s="23"/>
      <c r="C783" s="23"/>
      <c r="D783" s="23"/>
      <c r="E783" s="23"/>
      <c r="F783" s="23"/>
      <c r="G783" s="23"/>
      <c r="H783" s="23"/>
    </row>
    <row r="784" spans="2:8">
      <c r="B784" s="23"/>
      <c r="C784" s="301" t="s">
        <v>127</v>
      </c>
      <c r="D784" s="301" t="s">
        <v>122</v>
      </c>
      <c r="E784" s="23"/>
      <c r="F784" s="23"/>
      <c r="G784" s="23"/>
      <c r="H784" s="23"/>
    </row>
    <row r="785" spans="2:8">
      <c r="B785" s="23"/>
      <c r="C785" s="302" t="s">
        <v>130</v>
      </c>
      <c r="D785" s="310">
        <v>16</v>
      </c>
      <c r="E785" s="23"/>
      <c r="F785" s="23"/>
      <c r="G785" s="23"/>
      <c r="H785" s="23"/>
    </row>
    <row r="786" spans="2:8">
      <c r="B786" s="23"/>
      <c r="C786" s="23"/>
      <c r="D786" s="304">
        <f>SUM(D785:D785)</f>
        <v>16</v>
      </c>
      <c r="E786" s="305" t="s">
        <v>128</v>
      </c>
      <c r="F786" s="23"/>
      <c r="G786" s="23"/>
      <c r="H786" s="23"/>
    </row>
    <row r="787" spans="2:8">
      <c r="B787" s="23"/>
      <c r="C787" s="350"/>
      <c r="D787" s="346"/>
      <c r="E787" s="297"/>
      <c r="F787" s="23"/>
      <c r="G787" s="23"/>
      <c r="H787" s="23"/>
    </row>
    <row r="788" spans="2:8" ht="18" customHeight="1">
      <c r="B788" s="523" t="s">
        <v>420</v>
      </c>
      <c r="C788" s="523"/>
      <c r="D788" s="523"/>
      <c r="E788" s="523"/>
      <c r="F788" s="523"/>
      <c r="G788" s="523"/>
      <c r="H788" s="523"/>
    </row>
    <row r="789" spans="2:8">
      <c r="B789" s="23"/>
      <c r="C789" s="23"/>
      <c r="D789" s="23"/>
      <c r="E789" s="23"/>
      <c r="F789" s="23"/>
      <c r="G789" s="23"/>
      <c r="H789" s="23"/>
    </row>
    <row r="790" spans="2:8">
      <c r="B790" s="23"/>
      <c r="C790" s="301" t="s">
        <v>127</v>
      </c>
      <c r="D790" s="301" t="s">
        <v>122</v>
      </c>
      <c r="E790" s="23"/>
      <c r="F790" s="23"/>
      <c r="G790" s="23"/>
      <c r="H790" s="23"/>
    </row>
    <row r="791" spans="2:8">
      <c r="B791" s="23"/>
      <c r="C791" s="302" t="s">
        <v>149</v>
      </c>
      <c r="D791" s="310">
        <v>5</v>
      </c>
      <c r="E791" s="23"/>
      <c r="F791" s="23"/>
      <c r="G791" s="23"/>
      <c r="H791" s="23"/>
    </row>
    <row r="792" spans="2:8">
      <c r="B792" s="23"/>
      <c r="C792" s="23"/>
      <c r="D792" s="304">
        <f>SUM(D791:D791)</f>
        <v>5</v>
      </c>
      <c r="E792" s="305" t="s">
        <v>128</v>
      </c>
      <c r="F792" s="23"/>
      <c r="G792" s="23"/>
      <c r="H792" s="23"/>
    </row>
    <row r="793" spans="2:8">
      <c r="B793" s="23"/>
      <c r="C793" s="350"/>
      <c r="D793" s="346"/>
      <c r="E793" s="297"/>
      <c r="F793" s="23"/>
      <c r="G793" s="23"/>
      <c r="H793" s="23"/>
    </row>
    <row r="794" spans="2:8" ht="18" customHeight="1">
      <c r="B794" s="523" t="s">
        <v>421</v>
      </c>
      <c r="C794" s="523"/>
      <c r="D794" s="523"/>
      <c r="E794" s="523"/>
      <c r="F794" s="523"/>
      <c r="G794" s="523"/>
      <c r="H794" s="523"/>
    </row>
    <row r="795" spans="2:8">
      <c r="B795" s="23"/>
      <c r="C795" s="23"/>
      <c r="D795" s="23"/>
      <c r="E795" s="23"/>
      <c r="F795" s="23"/>
      <c r="G795" s="23"/>
      <c r="H795" s="23"/>
    </row>
    <row r="796" spans="2:8">
      <c r="B796" s="23"/>
      <c r="C796" s="301" t="s">
        <v>127</v>
      </c>
      <c r="D796" s="301" t="s">
        <v>122</v>
      </c>
      <c r="E796" s="23"/>
      <c r="F796" s="23"/>
      <c r="G796" s="23"/>
      <c r="H796" s="23"/>
    </row>
    <row r="797" spans="2:8">
      <c r="B797" s="23"/>
      <c r="C797" s="302" t="s">
        <v>131</v>
      </c>
      <c r="D797" s="310">
        <v>3</v>
      </c>
      <c r="E797" s="23"/>
      <c r="F797" s="23"/>
      <c r="G797" s="23"/>
      <c r="H797" s="23"/>
    </row>
    <row r="798" spans="2:8">
      <c r="B798" s="23"/>
      <c r="C798" s="23"/>
      <c r="D798" s="304">
        <f>SUM(D797:D797)</f>
        <v>3</v>
      </c>
      <c r="E798" s="305" t="s">
        <v>128</v>
      </c>
      <c r="F798" s="23"/>
      <c r="G798" s="23"/>
      <c r="H798" s="23"/>
    </row>
    <row r="799" spans="2:8">
      <c r="B799" s="23"/>
      <c r="C799" s="350"/>
      <c r="D799" s="346"/>
      <c r="E799" s="297"/>
      <c r="F799" s="23"/>
      <c r="G799" s="23"/>
      <c r="H799" s="23"/>
    </row>
    <row r="800" spans="2:8" ht="18" customHeight="1">
      <c r="B800" s="523" t="s">
        <v>422</v>
      </c>
      <c r="C800" s="523"/>
      <c r="D800" s="523"/>
      <c r="E800" s="523"/>
      <c r="F800" s="523"/>
      <c r="G800" s="523"/>
      <c r="H800" s="523"/>
    </row>
    <row r="801" spans="2:8">
      <c r="B801" s="23"/>
      <c r="C801" s="23"/>
      <c r="D801" s="23"/>
      <c r="E801" s="23"/>
      <c r="F801" s="23"/>
      <c r="G801" s="23"/>
      <c r="H801" s="23"/>
    </row>
    <row r="802" spans="2:8">
      <c r="B802" s="23"/>
      <c r="C802" s="301" t="s">
        <v>127</v>
      </c>
      <c r="D802" s="301" t="s">
        <v>122</v>
      </c>
      <c r="E802" s="23"/>
      <c r="F802" s="23"/>
      <c r="G802" s="23"/>
      <c r="H802" s="23"/>
    </row>
    <row r="803" spans="2:8">
      <c r="B803" s="23"/>
      <c r="C803" s="302" t="s">
        <v>131</v>
      </c>
      <c r="D803" s="310">
        <v>3</v>
      </c>
      <c r="E803" s="23"/>
      <c r="F803" s="23"/>
      <c r="G803" s="23"/>
      <c r="H803" s="23"/>
    </row>
    <row r="804" spans="2:8">
      <c r="B804" s="23"/>
      <c r="C804" s="23"/>
      <c r="D804" s="304">
        <f>SUM(D803:D803)</f>
        <v>3</v>
      </c>
      <c r="E804" s="305" t="s">
        <v>128</v>
      </c>
      <c r="F804" s="23"/>
      <c r="G804" s="23"/>
      <c r="H804" s="23"/>
    </row>
    <row r="805" spans="2:8">
      <c r="B805" s="23"/>
      <c r="C805" s="350"/>
      <c r="D805" s="346"/>
      <c r="E805" s="297"/>
      <c r="F805" s="23"/>
      <c r="G805" s="23"/>
      <c r="H805" s="23"/>
    </row>
    <row r="806" spans="2:8" ht="18" customHeight="1">
      <c r="B806" s="523" t="s">
        <v>423</v>
      </c>
      <c r="C806" s="523"/>
      <c r="D806" s="523"/>
      <c r="E806" s="523"/>
      <c r="F806" s="523"/>
      <c r="G806" s="523"/>
      <c r="H806" s="523"/>
    </row>
    <row r="807" spans="2:8">
      <c r="B807" s="23"/>
      <c r="C807" s="23"/>
      <c r="D807" s="23"/>
      <c r="E807" s="23"/>
      <c r="F807" s="23"/>
      <c r="G807" s="23"/>
      <c r="H807" s="23"/>
    </row>
    <row r="808" spans="2:8">
      <c r="B808" s="23"/>
      <c r="C808" s="301" t="s">
        <v>127</v>
      </c>
      <c r="D808" s="301" t="s">
        <v>122</v>
      </c>
      <c r="E808" s="23"/>
      <c r="F808" s="23"/>
      <c r="G808" s="23"/>
      <c r="H808" s="23"/>
    </row>
    <row r="809" spans="2:8">
      <c r="B809" s="23"/>
      <c r="C809" s="301" t="s">
        <v>130</v>
      </c>
      <c r="D809" s="310">
        <v>1</v>
      </c>
      <c r="E809" s="23"/>
      <c r="F809" s="23"/>
      <c r="G809" s="23"/>
      <c r="H809" s="23"/>
    </row>
    <row r="810" spans="2:8">
      <c r="B810" s="23"/>
      <c r="C810" s="301" t="s">
        <v>133</v>
      </c>
      <c r="D810" s="310">
        <v>2</v>
      </c>
      <c r="E810" s="23"/>
      <c r="F810" s="23"/>
      <c r="G810" s="23"/>
      <c r="H810" s="23"/>
    </row>
    <row r="811" spans="2:8" ht="31.5">
      <c r="B811" s="23"/>
      <c r="C811" s="317" t="s">
        <v>132</v>
      </c>
      <c r="D811" s="310">
        <v>2</v>
      </c>
      <c r="E811" s="23"/>
      <c r="F811" s="23"/>
      <c r="G811" s="23"/>
      <c r="H811" s="23"/>
    </row>
    <row r="812" spans="2:8">
      <c r="B812" s="23"/>
      <c r="C812" s="317" t="s">
        <v>149</v>
      </c>
      <c r="D812" s="310">
        <v>1</v>
      </c>
      <c r="E812" s="23"/>
      <c r="F812" s="23"/>
      <c r="G812" s="23"/>
      <c r="H812" s="23"/>
    </row>
    <row r="813" spans="2:8">
      <c r="B813" s="23"/>
      <c r="C813" s="317" t="s">
        <v>134</v>
      </c>
      <c r="D813" s="310">
        <v>2</v>
      </c>
      <c r="E813" s="23"/>
      <c r="F813" s="23"/>
      <c r="G813" s="23"/>
      <c r="H813" s="23"/>
    </row>
    <row r="814" spans="2:8">
      <c r="B814" s="23"/>
      <c r="C814" s="302" t="s">
        <v>137</v>
      </c>
      <c r="D814" s="310">
        <v>1</v>
      </c>
      <c r="E814" s="23"/>
      <c r="F814" s="23"/>
      <c r="G814" s="23"/>
      <c r="H814" s="23"/>
    </row>
    <row r="815" spans="2:8">
      <c r="B815" s="23"/>
      <c r="C815" s="302" t="s">
        <v>136</v>
      </c>
      <c r="D815" s="310">
        <v>1</v>
      </c>
      <c r="E815" s="23"/>
      <c r="F815" s="23"/>
      <c r="G815" s="23"/>
      <c r="H815" s="23"/>
    </row>
    <row r="816" spans="2:8">
      <c r="B816" s="23"/>
      <c r="C816" s="23"/>
      <c r="D816" s="304">
        <f>SUM(D809:D815)</f>
        <v>10</v>
      </c>
      <c r="E816" s="305" t="s">
        <v>128</v>
      </c>
      <c r="F816" s="23"/>
      <c r="G816" s="23"/>
      <c r="H816" s="23"/>
    </row>
    <row r="817" spans="2:8">
      <c r="B817" s="23"/>
      <c r="C817" s="350"/>
      <c r="D817" s="346"/>
      <c r="E817" s="297"/>
      <c r="F817" s="23"/>
      <c r="G817" s="23"/>
      <c r="H817" s="23"/>
    </row>
    <row r="818" spans="2:8" ht="18" customHeight="1">
      <c r="B818" s="523" t="s">
        <v>424</v>
      </c>
      <c r="C818" s="523"/>
      <c r="D818" s="523"/>
      <c r="E818" s="523"/>
      <c r="F818" s="523"/>
      <c r="G818" s="523"/>
      <c r="H818" s="523"/>
    </row>
    <row r="819" spans="2:8">
      <c r="B819" s="23"/>
      <c r="C819" s="23"/>
      <c r="D819" s="23"/>
      <c r="E819" s="23"/>
      <c r="F819" s="23"/>
      <c r="G819" s="23"/>
      <c r="H819" s="23"/>
    </row>
    <row r="820" spans="2:8">
      <c r="B820" s="23"/>
      <c r="C820" s="301" t="s">
        <v>127</v>
      </c>
      <c r="D820" s="301" t="s">
        <v>122</v>
      </c>
      <c r="E820" s="23"/>
      <c r="F820" s="23"/>
      <c r="G820" s="23"/>
      <c r="H820" s="23"/>
    </row>
    <row r="821" spans="2:8">
      <c r="B821" s="23"/>
      <c r="C821" s="317" t="s">
        <v>149</v>
      </c>
      <c r="D821" s="310">
        <v>1</v>
      </c>
      <c r="E821" s="23"/>
      <c r="F821" s="23"/>
      <c r="G821" s="23"/>
      <c r="H821" s="23"/>
    </row>
    <row r="822" spans="2:8">
      <c r="B822" s="23"/>
      <c r="C822" s="23"/>
      <c r="D822" s="304">
        <f>SUM(D821:D821)</f>
        <v>1</v>
      </c>
      <c r="E822" s="305" t="s">
        <v>128</v>
      </c>
      <c r="F822" s="23"/>
      <c r="G822" s="23"/>
      <c r="H822" s="23"/>
    </row>
    <row r="823" spans="2:8">
      <c r="B823" s="23"/>
      <c r="C823" s="350"/>
      <c r="D823" s="346"/>
      <c r="E823" s="297"/>
      <c r="F823" s="23"/>
      <c r="G823" s="23"/>
      <c r="H823" s="23"/>
    </row>
    <row r="824" spans="2:8" ht="18" customHeight="1">
      <c r="B824" s="523" t="s">
        <v>425</v>
      </c>
      <c r="C824" s="523"/>
      <c r="D824" s="523"/>
      <c r="E824" s="523"/>
      <c r="F824" s="523"/>
      <c r="G824" s="523"/>
      <c r="H824" s="523"/>
    </row>
    <row r="825" spans="2:8">
      <c r="B825" s="23"/>
      <c r="C825" s="23"/>
      <c r="D825" s="23"/>
      <c r="E825" s="23"/>
      <c r="F825" s="23"/>
      <c r="G825" s="23"/>
      <c r="H825" s="23"/>
    </row>
    <row r="826" spans="2:8">
      <c r="B826" s="23"/>
      <c r="C826" s="301" t="s">
        <v>127</v>
      </c>
      <c r="D826" s="301" t="s">
        <v>122</v>
      </c>
      <c r="E826" s="23"/>
      <c r="F826" s="23"/>
      <c r="G826" s="23"/>
      <c r="H826" s="23"/>
    </row>
    <row r="827" spans="2:8">
      <c r="B827" s="23"/>
      <c r="C827" s="317" t="s">
        <v>149</v>
      </c>
      <c r="D827" s="310">
        <v>5</v>
      </c>
      <c r="E827" s="23"/>
      <c r="F827" s="23"/>
      <c r="G827" s="23"/>
      <c r="H827" s="23"/>
    </row>
    <row r="828" spans="2:8">
      <c r="B828" s="23"/>
      <c r="C828" s="23"/>
      <c r="D828" s="304">
        <f>SUM(D827:D827)</f>
        <v>5</v>
      </c>
      <c r="E828" s="305" t="s">
        <v>128</v>
      </c>
      <c r="F828" s="23"/>
      <c r="G828" s="23"/>
      <c r="H828" s="23"/>
    </row>
    <row r="829" spans="2:8">
      <c r="B829" s="23"/>
      <c r="C829" s="350"/>
      <c r="D829" s="346"/>
      <c r="E829" s="297"/>
      <c r="F829" s="23"/>
      <c r="G829" s="23"/>
      <c r="H829" s="23"/>
    </row>
    <row r="830" spans="2:8" ht="18" customHeight="1">
      <c r="B830" s="523" t="s">
        <v>504</v>
      </c>
      <c r="C830" s="523"/>
      <c r="D830" s="523"/>
      <c r="E830" s="523"/>
      <c r="F830" s="523"/>
      <c r="G830" s="523"/>
      <c r="H830" s="523"/>
    </row>
    <row r="831" spans="2:8" ht="18" customHeight="1">
      <c r="B831" s="23"/>
      <c r="C831" s="23"/>
      <c r="D831" s="23"/>
      <c r="E831" s="23"/>
      <c r="F831" s="23"/>
      <c r="G831" s="23"/>
      <c r="H831" s="23"/>
    </row>
    <row r="832" spans="2:8">
      <c r="B832" s="23"/>
      <c r="C832" s="301" t="s">
        <v>127</v>
      </c>
      <c r="D832" s="301" t="s">
        <v>122</v>
      </c>
      <c r="E832" s="23"/>
      <c r="F832" s="23"/>
      <c r="G832" s="23"/>
      <c r="H832" s="23"/>
    </row>
    <row r="833" spans="2:8">
      <c r="B833" s="23"/>
      <c r="C833" s="301" t="s">
        <v>130</v>
      </c>
      <c r="D833" s="310">
        <v>3</v>
      </c>
      <c r="E833" s="23"/>
      <c r="F833" s="23"/>
      <c r="G833" s="23"/>
      <c r="H833" s="23"/>
    </row>
    <row r="834" spans="2:8">
      <c r="B834" s="23"/>
      <c r="C834" s="301" t="s">
        <v>133</v>
      </c>
      <c r="D834" s="310">
        <v>1</v>
      </c>
      <c r="E834" s="23"/>
      <c r="F834" s="23"/>
      <c r="G834" s="23"/>
      <c r="H834" s="23"/>
    </row>
    <row r="835" spans="2:8">
      <c r="B835" s="23"/>
      <c r="C835" s="23"/>
      <c r="D835" s="304">
        <f>SUM(D833:D834)</f>
        <v>4</v>
      </c>
      <c r="E835" s="305" t="s">
        <v>128</v>
      </c>
      <c r="F835" s="23"/>
      <c r="G835" s="23"/>
      <c r="H835" s="23"/>
    </row>
    <row r="836" spans="2:8">
      <c r="B836" s="23"/>
      <c r="C836" s="350"/>
      <c r="D836" s="346"/>
      <c r="E836" s="297"/>
      <c r="F836" s="23"/>
      <c r="G836" s="23"/>
      <c r="H836" s="23"/>
    </row>
    <row r="837" spans="2:8" ht="18" customHeight="1">
      <c r="B837" s="523" t="s">
        <v>426</v>
      </c>
      <c r="C837" s="523"/>
      <c r="D837" s="523"/>
      <c r="E837" s="523"/>
      <c r="F837" s="523"/>
      <c r="G837" s="523"/>
      <c r="H837" s="523"/>
    </row>
    <row r="838" spans="2:8" ht="18" customHeight="1">
      <c r="B838" s="23"/>
      <c r="C838" s="23"/>
      <c r="D838" s="23"/>
      <c r="E838" s="23"/>
      <c r="F838" s="23"/>
      <c r="G838" s="23"/>
      <c r="H838" s="23"/>
    </row>
    <row r="839" spans="2:8">
      <c r="B839" s="23"/>
      <c r="C839" s="23"/>
      <c r="D839" s="316">
        <v>1</v>
      </c>
      <c r="E839" s="305" t="s">
        <v>128</v>
      </c>
      <c r="F839" s="23"/>
      <c r="G839" s="23"/>
      <c r="H839" s="23"/>
    </row>
    <row r="840" spans="2:8">
      <c r="B840" s="23"/>
      <c r="C840" s="350"/>
      <c r="D840" s="346"/>
      <c r="E840" s="297"/>
      <c r="F840" s="23"/>
      <c r="G840" s="23"/>
      <c r="H840" s="23"/>
    </row>
    <row r="841" spans="2:8" ht="18" customHeight="1">
      <c r="B841" s="523" t="s">
        <v>427</v>
      </c>
      <c r="C841" s="523"/>
      <c r="D841" s="523"/>
      <c r="E841" s="523"/>
      <c r="F841" s="523"/>
      <c r="G841" s="523"/>
      <c r="H841" s="523"/>
    </row>
    <row r="842" spans="2:8" ht="18" customHeight="1">
      <c r="B842" s="23"/>
      <c r="C842" s="23"/>
      <c r="D842" s="23"/>
      <c r="E842" s="23"/>
      <c r="F842" s="23"/>
      <c r="G842" s="23"/>
      <c r="H842" s="23"/>
    </row>
    <row r="843" spans="2:8">
      <c r="B843" s="23"/>
      <c r="C843" s="23"/>
      <c r="D843" s="316">
        <v>2</v>
      </c>
      <c r="E843" s="305" t="s">
        <v>128</v>
      </c>
      <c r="F843" s="23"/>
      <c r="G843" s="23"/>
      <c r="H843" s="23"/>
    </row>
    <row r="844" spans="2:8">
      <c r="B844" s="23"/>
      <c r="C844" s="350"/>
      <c r="D844" s="346"/>
      <c r="E844" s="297"/>
      <c r="F844" s="23"/>
      <c r="G844" s="23"/>
      <c r="H844" s="23"/>
    </row>
    <row r="845" spans="2:8" ht="18" customHeight="1">
      <c r="B845" s="523" t="s">
        <v>428</v>
      </c>
      <c r="C845" s="523"/>
      <c r="D845" s="523"/>
      <c r="E845" s="523"/>
      <c r="F845" s="523"/>
      <c r="G845" s="523"/>
      <c r="H845" s="523"/>
    </row>
    <row r="846" spans="2:8" ht="18" customHeight="1">
      <c r="B846" s="23"/>
      <c r="C846" s="23"/>
      <c r="D846" s="23"/>
      <c r="E846" s="23"/>
      <c r="F846" s="23"/>
      <c r="G846" s="23"/>
      <c r="H846" s="23"/>
    </row>
    <row r="847" spans="2:8">
      <c r="B847" s="23"/>
      <c r="C847" s="23"/>
      <c r="D847" s="316">
        <v>10</v>
      </c>
      <c r="E847" s="305" t="s">
        <v>128</v>
      </c>
      <c r="F847" s="23"/>
      <c r="G847" s="23"/>
      <c r="H847" s="23"/>
    </row>
    <row r="848" spans="2:8">
      <c r="B848" s="23"/>
      <c r="C848" s="350"/>
      <c r="D848" s="346"/>
      <c r="E848" s="297"/>
      <c r="F848" s="23"/>
      <c r="G848" s="23"/>
      <c r="H848" s="23"/>
    </row>
    <row r="849" spans="2:8" ht="18" customHeight="1">
      <c r="B849" s="523" t="s">
        <v>429</v>
      </c>
      <c r="C849" s="523"/>
      <c r="D849" s="523"/>
      <c r="E849" s="523"/>
      <c r="F849" s="523"/>
      <c r="G849" s="523"/>
      <c r="H849" s="523"/>
    </row>
    <row r="850" spans="2:8" ht="18" customHeight="1">
      <c r="B850" s="23"/>
      <c r="C850" s="23"/>
      <c r="D850" s="23"/>
      <c r="E850" s="23"/>
      <c r="F850" s="23"/>
      <c r="G850" s="23"/>
      <c r="H850" s="23"/>
    </row>
    <row r="851" spans="2:8">
      <c r="B851" s="23"/>
      <c r="C851" s="23"/>
      <c r="D851" s="316">
        <v>1</v>
      </c>
      <c r="E851" s="305" t="s">
        <v>128</v>
      </c>
      <c r="F851" s="23"/>
      <c r="G851" s="23"/>
      <c r="H851" s="23"/>
    </row>
    <row r="852" spans="2:8">
      <c r="B852" s="23"/>
      <c r="C852" s="350"/>
      <c r="D852" s="346"/>
      <c r="E852" s="297"/>
      <c r="F852" s="23"/>
      <c r="G852" s="23"/>
      <c r="H852" s="23"/>
    </row>
    <row r="853" spans="2:8" ht="18" customHeight="1">
      <c r="B853" s="523" t="s">
        <v>430</v>
      </c>
      <c r="C853" s="523"/>
      <c r="D853" s="523"/>
      <c r="E853" s="523"/>
      <c r="F853" s="523"/>
      <c r="G853" s="523"/>
      <c r="H853" s="523"/>
    </row>
    <row r="854" spans="2:8" ht="18" customHeight="1">
      <c r="B854" s="23"/>
      <c r="C854" s="23"/>
      <c r="D854" s="23"/>
      <c r="E854" s="23"/>
      <c r="F854" s="23"/>
      <c r="G854" s="23"/>
      <c r="H854" s="23"/>
    </row>
    <row r="855" spans="2:8">
      <c r="B855" s="23"/>
      <c r="C855" s="23"/>
      <c r="D855" s="316">
        <v>3</v>
      </c>
      <c r="E855" s="305" t="s">
        <v>128</v>
      </c>
      <c r="F855" s="23"/>
      <c r="G855" s="23"/>
      <c r="H855" s="23"/>
    </row>
    <row r="856" spans="2:8">
      <c r="B856" s="23"/>
      <c r="C856" s="350"/>
      <c r="D856" s="346"/>
      <c r="E856" s="297"/>
      <c r="F856" s="23"/>
      <c r="G856" s="23"/>
      <c r="H856" s="23"/>
    </row>
    <row r="857" spans="2:8" ht="18" customHeight="1">
      <c r="B857" s="523" t="s">
        <v>431</v>
      </c>
      <c r="C857" s="523"/>
      <c r="D857" s="523"/>
      <c r="E857" s="523"/>
      <c r="F857" s="523"/>
      <c r="G857" s="523"/>
      <c r="H857" s="523"/>
    </row>
    <row r="858" spans="2:8" ht="18" customHeight="1">
      <c r="B858" s="23"/>
      <c r="C858" s="23"/>
      <c r="D858" s="23"/>
      <c r="E858" s="23"/>
      <c r="F858" s="23"/>
      <c r="G858" s="23"/>
      <c r="H858" s="23"/>
    </row>
    <row r="859" spans="2:8">
      <c r="B859" s="23"/>
      <c r="C859" s="23"/>
      <c r="D859" s="316">
        <v>1</v>
      </c>
      <c r="E859" s="305" t="s">
        <v>128</v>
      </c>
      <c r="F859" s="23"/>
      <c r="G859" s="23"/>
      <c r="H859" s="23"/>
    </row>
    <row r="860" spans="2:8">
      <c r="B860" s="23"/>
      <c r="C860" s="350"/>
      <c r="D860" s="346"/>
      <c r="E860" s="297"/>
      <c r="F860" s="23"/>
      <c r="G860" s="23"/>
      <c r="H860" s="23"/>
    </row>
    <row r="861" spans="2:8" ht="33" customHeight="1">
      <c r="B861" s="523" t="s">
        <v>432</v>
      </c>
      <c r="C861" s="523"/>
      <c r="D861" s="523"/>
      <c r="E861" s="523"/>
      <c r="F861" s="523"/>
      <c r="G861" s="523"/>
      <c r="H861" s="523"/>
    </row>
    <row r="862" spans="2:8" ht="18" customHeight="1">
      <c r="B862" s="23"/>
      <c r="C862" s="23"/>
      <c r="D862" s="23"/>
      <c r="E862" s="23"/>
      <c r="F862" s="23"/>
      <c r="G862" s="23"/>
      <c r="H862" s="23"/>
    </row>
    <row r="863" spans="2:8">
      <c r="B863" s="23"/>
      <c r="C863" s="301" t="s">
        <v>296</v>
      </c>
      <c r="D863" s="301" t="s">
        <v>122</v>
      </c>
      <c r="E863" s="23"/>
      <c r="F863" s="23"/>
      <c r="G863" s="23"/>
      <c r="H863" s="23"/>
    </row>
    <row r="864" spans="2:8">
      <c r="B864" s="23"/>
      <c r="C864" s="301" t="s">
        <v>297</v>
      </c>
      <c r="D864" s="310">
        <v>20</v>
      </c>
      <c r="E864" s="23"/>
      <c r="F864" s="23"/>
      <c r="G864" s="23"/>
      <c r="H864" s="23"/>
    </row>
    <row r="865" spans="2:9">
      <c r="B865" s="23"/>
      <c r="C865" s="301" t="s">
        <v>298</v>
      </c>
      <c r="D865" s="310">
        <v>20</v>
      </c>
      <c r="E865" s="23"/>
      <c r="F865" s="23"/>
      <c r="G865" s="23"/>
      <c r="H865" s="23"/>
    </row>
    <row r="866" spans="2:9">
      <c r="B866" s="23"/>
      <c r="C866" s="301" t="s">
        <v>299</v>
      </c>
      <c r="D866" s="310">
        <v>20</v>
      </c>
      <c r="E866" s="23"/>
      <c r="F866" s="23"/>
      <c r="G866" s="23"/>
      <c r="H866" s="23"/>
    </row>
    <row r="867" spans="2:9">
      <c r="B867" s="23"/>
      <c r="C867" s="23"/>
      <c r="D867" s="304">
        <f>SUM(D864:D866)</f>
        <v>60</v>
      </c>
      <c r="E867" s="305" t="s">
        <v>85</v>
      </c>
      <c r="F867" s="23"/>
      <c r="G867" s="23"/>
      <c r="H867" s="23"/>
    </row>
    <row r="868" spans="2:9">
      <c r="B868" s="23"/>
      <c r="C868" s="350"/>
      <c r="D868" s="346"/>
      <c r="E868" s="297"/>
      <c r="F868" s="23"/>
      <c r="G868" s="23"/>
      <c r="H868" s="23"/>
    </row>
    <row r="869" spans="2:9" s="26" customFormat="1" ht="18.75">
      <c r="B869" s="25" t="s">
        <v>433</v>
      </c>
      <c r="C869" s="25"/>
      <c r="D869" s="25"/>
      <c r="E869" s="25"/>
      <c r="F869" s="25"/>
      <c r="G869" s="25"/>
      <c r="H869" s="25"/>
    </row>
    <row r="870" spans="2:9" s="26" customFormat="1" ht="18.75">
      <c r="B870" s="299"/>
      <c r="C870" s="299"/>
      <c r="D870" s="299"/>
      <c r="E870" s="299"/>
      <c r="F870" s="299"/>
      <c r="G870" s="299"/>
      <c r="H870" s="299"/>
      <c r="I870" s="300"/>
    </row>
    <row r="871" spans="2:9" ht="34.5" customHeight="1">
      <c r="B871" s="523" t="s">
        <v>434</v>
      </c>
      <c r="C871" s="523"/>
      <c r="D871" s="523"/>
      <c r="E871" s="523"/>
      <c r="F871" s="523"/>
      <c r="G871" s="523"/>
      <c r="H871" s="523"/>
    </row>
    <row r="872" spans="2:9">
      <c r="B872" s="23"/>
      <c r="C872" s="23"/>
      <c r="D872" s="23"/>
      <c r="E872" s="23"/>
      <c r="F872" s="23"/>
      <c r="G872" s="23"/>
      <c r="H872" s="23"/>
    </row>
    <row r="873" spans="2:9">
      <c r="B873" s="23"/>
      <c r="C873" s="301" t="s">
        <v>127</v>
      </c>
      <c r="D873" s="301" t="s">
        <v>162</v>
      </c>
      <c r="E873" s="23"/>
      <c r="F873" s="23"/>
      <c r="G873" s="23"/>
      <c r="H873" s="23"/>
    </row>
    <row r="874" spans="2:9">
      <c r="B874" s="23"/>
      <c r="C874" s="302" t="s">
        <v>137</v>
      </c>
      <c r="D874" s="310">
        <v>3.7839999999999998</v>
      </c>
      <c r="E874" s="23"/>
      <c r="F874" s="23"/>
      <c r="G874" s="23"/>
      <c r="H874" s="23"/>
    </row>
    <row r="875" spans="2:9">
      <c r="B875" s="23"/>
      <c r="C875" s="302" t="s">
        <v>136</v>
      </c>
      <c r="D875" s="310">
        <v>3.7839999999999998</v>
      </c>
      <c r="E875" s="23"/>
      <c r="F875" s="23"/>
      <c r="G875" s="23"/>
      <c r="H875" s="23"/>
    </row>
    <row r="876" spans="2:9">
      <c r="B876" s="23"/>
      <c r="C876" s="23"/>
      <c r="D876" s="304">
        <f>SUM(D874:D875)</f>
        <v>7.5679999999999996</v>
      </c>
      <c r="E876" s="305" t="s">
        <v>90</v>
      </c>
      <c r="F876" s="23"/>
      <c r="G876" s="23"/>
      <c r="H876" s="23"/>
    </row>
    <row r="877" spans="2:9">
      <c r="B877" s="23"/>
      <c r="C877" s="23"/>
      <c r="D877" s="23"/>
      <c r="E877" s="23"/>
      <c r="F877" s="23"/>
      <c r="G877" s="23"/>
      <c r="H877" s="23"/>
    </row>
    <row r="878" spans="2:9" ht="29.25" customHeight="1">
      <c r="B878" s="523" t="s">
        <v>435</v>
      </c>
      <c r="C878" s="523"/>
      <c r="D878" s="523"/>
      <c r="E878" s="523"/>
      <c r="F878" s="523"/>
      <c r="G878" s="523"/>
      <c r="H878" s="523"/>
    </row>
    <row r="879" spans="2:9">
      <c r="B879" s="23"/>
      <c r="C879" s="23"/>
      <c r="D879" s="23"/>
      <c r="E879" s="23"/>
      <c r="F879" s="23"/>
      <c r="G879" s="23"/>
      <c r="H879" s="23"/>
    </row>
    <row r="880" spans="2:9">
      <c r="B880" s="23"/>
      <c r="C880" s="301" t="s">
        <v>127</v>
      </c>
      <c r="D880" s="301" t="s">
        <v>162</v>
      </c>
      <c r="E880" s="23"/>
      <c r="F880" s="23"/>
      <c r="G880" s="23"/>
      <c r="H880" s="23"/>
    </row>
    <row r="881" spans="2:16">
      <c r="B881" s="23"/>
      <c r="C881" s="301" t="s">
        <v>130</v>
      </c>
      <c r="D881" s="310">
        <v>82.863</v>
      </c>
      <c r="E881" s="23"/>
      <c r="F881" s="23"/>
      <c r="G881" s="23"/>
      <c r="H881" s="23"/>
    </row>
    <row r="882" spans="2:16">
      <c r="B882" s="23"/>
      <c r="C882" s="301" t="s">
        <v>131</v>
      </c>
      <c r="D882" s="310">
        <v>31.867000000000001</v>
      </c>
      <c r="E882" s="23"/>
      <c r="F882" s="23"/>
      <c r="G882" s="23"/>
      <c r="H882" s="23"/>
    </row>
    <row r="883" spans="2:16" ht="31.5">
      <c r="B883" s="23"/>
      <c r="C883" s="302" t="s">
        <v>132</v>
      </c>
      <c r="D883" s="303">
        <v>13.079000000000001</v>
      </c>
      <c r="E883" s="23"/>
      <c r="F883" s="23"/>
      <c r="G883" s="23"/>
      <c r="H883" s="23"/>
    </row>
    <row r="884" spans="2:16">
      <c r="B884" s="23"/>
      <c r="C884" s="302" t="s">
        <v>133</v>
      </c>
      <c r="D884" s="303">
        <v>15.521000000000001</v>
      </c>
      <c r="E884" s="23"/>
      <c r="F884" s="23"/>
      <c r="G884" s="23"/>
      <c r="H884" s="23"/>
    </row>
    <row r="885" spans="2:16">
      <c r="B885" s="23"/>
      <c r="C885" s="302" t="s">
        <v>134</v>
      </c>
      <c r="D885" s="310">
        <v>15.532</v>
      </c>
      <c r="E885" s="23"/>
      <c r="F885" s="23"/>
      <c r="G885" s="23"/>
      <c r="H885" s="23"/>
    </row>
    <row r="886" spans="2:16">
      <c r="B886" s="23"/>
      <c r="C886" s="302" t="s">
        <v>202</v>
      </c>
      <c r="D886" s="310">
        <v>7.5789999999999997</v>
      </c>
      <c r="E886" s="23"/>
      <c r="F886" s="23"/>
      <c r="G886" s="23"/>
      <c r="H886" s="23"/>
    </row>
    <row r="887" spans="2:16">
      <c r="B887" s="23"/>
      <c r="C887" s="302" t="s">
        <v>164</v>
      </c>
      <c r="D887" s="310">
        <v>10.11</v>
      </c>
      <c r="E887" s="23"/>
      <c r="F887" s="23"/>
      <c r="G887" s="23"/>
      <c r="H887" s="23"/>
    </row>
    <row r="888" spans="2:16">
      <c r="B888" s="23"/>
      <c r="C888" s="302" t="s">
        <v>138</v>
      </c>
      <c r="D888" s="310">
        <v>19.481000000000002</v>
      </c>
      <c r="E888" s="23"/>
      <c r="F888" s="23"/>
      <c r="G888" s="23"/>
      <c r="H888" s="23"/>
    </row>
    <row r="889" spans="2:16">
      <c r="B889" s="23"/>
      <c r="C889" s="23"/>
      <c r="D889" s="304">
        <f>SUM(D881:D888)</f>
        <v>196.03199999999998</v>
      </c>
      <c r="E889" s="305" t="s">
        <v>90</v>
      </c>
      <c r="F889" s="23"/>
      <c r="G889" s="23"/>
      <c r="H889" s="23"/>
    </row>
    <row r="890" spans="2:16">
      <c r="B890" s="23"/>
      <c r="C890" s="23"/>
      <c r="D890" s="23"/>
      <c r="E890" s="23"/>
      <c r="F890" s="23"/>
      <c r="G890" s="23"/>
      <c r="H890" s="23"/>
    </row>
    <row r="891" spans="2:16" ht="29.25" customHeight="1">
      <c r="B891" s="515" t="s">
        <v>436</v>
      </c>
      <c r="C891" s="515"/>
      <c r="D891" s="515"/>
      <c r="E891" s="515"/>
      <c r="F891" s="515"/>
      <c r="G891" s="515"/>
      <c r="H891" s="515"/>
    </row>
    <row r="892" spans="2:16">
      <c r="B892" s="23"/>
      <c r="C892" s="23"/>
      <c r="D892" s="23"/>
      <c r="E892" s="23"/>
      <c r="F892" s="23"/>
      <c r="G892" s="23"/>
      <c r="H892" s="23"/>
    </row>
    <row r="893" spans="2:16">
      <c r="B893" s="23"/>
      <c r="C893" s="301" t="s">
        <v>127</v>
      </c>
      <c r="D893" s="301" t="s">
        <v>162</v>
      </c>
      <c r="E893" s="23"/>
      <c r="F893" s="23"/>
      <c r="G893" s="23"/>
      <c r="H893" s="23"/>
    </row>
    <row r="894" spans="2:16">
      <c r="B894" s="23"/>
      <c r="C894" s="301" t="s">
        <v>131</v>
      </c>
      <c r="D894" s="310">
        <v>2.1800000000000002</v>
      </c>
      <c r="E894" s="23"/>
      <c r="F894" s="23"/>
      <c r="G894" s="23"/>
      <c r="H894" s="23"/>
    </row>
    <row r="895" spans="2:16" ht="31.5">
      <c r="B895" s="23"/>
      <c r="C895" s="302" t="s">
        <v>132</v>
      </c>
      <c r="D895" s="303">
        <f>(4.79+0.2+0.2+2.08+3.08-0.9-0.9)*0.1</f>
        <v>0.85500000000000009</v>
      </c>
      <c r="E895" s="23"/>
      <c r="F895" s="23"/>
      <c r="G895" s="23"/>
      <c r="H895" s="23"/>
      <c r="L895">
        <f>0.2+0.2+0.19+4+4+3.54+3.54-0.9</f>
        <v>14.769999999999998</v>
      </c>
    </row>
    <row r="896" spans="2:16">
      <c r="B896" s="23"/>
      <c r="C896" s="302" t="s">
        <v>133</v>
      </c>
      <c r="D896" s="303">
        <f>14.58*0.1</f>
        <v>1.4580000000000002</v>
      </c>
      <c r="E896" s="23"/>
      <c r="F896" s="23"/>
      <c r="G896" s="23"/>
      <c r="H896" s="23"/>
      <c r="P896" s="22">
        <f>10.01+2.83+2.83+0.37+0.37+0.2+0.2+4.79+1.44-1.2</f>
        <v>21.84</v>
      </c>
    </row>
    <row r="897" spans="2:16">
      <c r="B897" s="23"/>
      <c r="C897" s="302" t="s">
        <v>134</v>
      </c>
      <c r="D897" s="310">
        <f>(0.19+0.19+3.54+3.54+4+4-0.9)*0.1</f>
        <v>1.4560000000000002</v>
      </c>
      <c r="E897" s="23"/>
      <c r="F897" s="23"/>
      <c r="G897" s="23"/>
      <c r="H897" s="23"/>
      <c r="N897" s="22">
        <f>(1.63+0.7+1.48+0.68+1.62+2.89+5.78)-(0.9+1.2)</f>
        <v>12.680000000000001</v>
      </c>
      <c r="P897">
        <f>P896*0.1</f>
        <v>2.1840000000000002</v>
      </c>
    </row>
    <row r="898" spans="2:16">
      <c r="B898" s="23"/>
      <c r="C898" s="302" t="s">
        <v>202</v>
      </c>
      <c r="D898" s="310">
        <f>((2.55*2)+(2.7*2)-0.9)*0.1</f>
        <v>0.96</v>
      </c>
      <c r="E898" s="23"/>
      <c r="F898" s="23"/>
      <c r="G898" s="23"/>
      <c r="H898" s="23"/>
    </row>
    <row r="899" spans="2:16">
      <c r="B899" s="23"/>
      <c r="C899" s="302" t="s">
        <v>138</v>
      </c>
      <c r="D899" s="310">
        <v>1.27</v>
      </c>
      <c r="E899" s="23"/>
      <c r="F899" s="23"/>
      <c r="G899" s="23"/>
      <c r="H899" s="23"/>
      <c r="N899">
        <f>N897*0.1</f>
        <v>1.2680000000000002</v>
      </c>
    </row>
    <row r="900" spans="2:16">
      <c r="B900" s="23"/>
      <c r="C900" s="23"/>
      <c r="D900" s="304">
        <f>SUM(D894:D899)</f>
        <v>8.1790000000000003</v>
      </c>
      <c r="E900" s="305" t="s">
        <v>90</v>
      </c>
      <c r="F900" s="23"/>
      <c r="G900" s="23"/>
      <c r="H900" s="23"/>
    </row>
    <row r="901" spans="2:16">
      <c r="B901" s="23"/>
      <c r="C901" s="23"/>
      <c r="D901" s="23"/>
      <c r="E901" s="23"/>
      <c r="F901" s="23"/>
      <c r="G901" s="23"/>
      <c r="H901" s="23"/>
    </row>
    <row r="902" spans="2:16" ht="12.75" customHeight="1">
      <c r="B902" s="515" t="s">
        <v>437</v>
      </c>
      <c r="C902" s="515"/>
      <c r="D902" s="515"/>
      <c r="E902" s="515"/>
      <c r="F902" s="515"/>
      <c r="G902" s="515"/>
      <c r="H902" s="515"/>
    </row>
    <row r="903" spans="2:16" ht="7.5" customHeight="1">
      <c r="B903" s="515"/>
      <c r="C903" s="515"/>
      <c r="D903" s="515"/>
      <c r="E903" s="515"/>
      <c r="F903" s="515"/>
      <c r="G903" s="515"/>
      <c r="H903" s="515"/>
    </row>
    <row r="904" spans="2:16" ht="12.75" customHeight="1">
      <c r="B904" s="23"/>
      <c r="C904" s="23"/>
      <c r="D904" s="23"/>
      <c r="E904" s="23"/>
      <c r="F904" s="23"/>
      <c r="G904" s="23"/>
      <c r="H904" s="23"/>
    </row>
    <row r="905" spans="2:16" s="13" customFormat="1">
      <c r="B905" s="301" t="s">
        <v>127</v>
      </c>
      <c r="C905" s="301" t="s">
        <v>159</v>
      </c>
      <c r="D905" s="317" t="s">
        <v>121</v>
      </c>
      <c r="E905" s="301" t="s">
        <v>160</v>
      </c>
      <c r="F905" s="301" t="s">
        <v>125</v>
      </c>
      <c r="G905" s="301" t="s">
        <v>123</v>
      </c>
      <c r="H905" s="299"/>
      <c r="I905" s="298"/>
    </row>
    <row r="906" spans="2:16" s="13" customFormat="1" ht="15" customHeight="1">
      <c r="B906" s="509" t="s">
        <v>137</v>
      </c>
      <c r="C906" s="310">
        <v>2.5499999999999998</v>
      </c>
      <c r="D906" s="310">
        <v>2.5499999999999998</v>
      </c>
      <c r="E906" s="310">
        <v>0</v>
      </c>
      <c r="F906" s="310">
        <v>2</v>
      </c>
      <c r="G906" s="310">
        <f>((C906*D906)*F906)-E906</f>
        <v>13.004999999999999</v>
      </c>
      <c r="H906" s="299"/>
      <c r="I906" s="298"/>
    </row>
    <row r="907" spans="2:16" s="13" customFormat="1" ht="15" customHeight="1">
      <c r="B907" s="510"/>
      <c r="C907" s="310">
        <v>1.35</v>
      </c>
      <c r="D907" s="310">
        <v>2.5499999999999998</v>
      </c>
      <c r="E907" s="310">
        <f>(0.9*2.1)</f>
        <v>1.8900000000000001</v>
      </c>
      <c r="F907" s="310">
        <v>1</v>
      </c>
      <c r="G907" s="310">
        <f>((C907*D907)*F907)-E907</f>
        <v>1.5524999999999998</v>
      </c>
      <c r="H907" s="299"/>
      <c r="I907" s="298"/>
    </row>
    <row r="908" spans="2:16" s="13" customFormat="1" ht="15" customHeight="1">
      <c r="B908" s="509" t="s">
        <v>136</v>
      </c>
      <c r="C908" s="310">
        <v>2.5499999999999998</v>
      </c>
      <c r="D908" s="310">
        <v>2.5499999999999998</v>
      </c>
      <c r="E908" s="310">
        <v>0</v>
      </c>
      <c r="F908" s="310">
        <v>2</v>
      </c>
      <c r="G908" s="310">
        <f>((C908*D908)*F908)-E908</f>
        <v>13.004999999999999</v>
      </c>
      <c r="H908" s="299"/>
      <c r="I908" s="298"/>
    </row>
    <row r="909" spans="2:16" s="13" customFormat="1" ht="15" customHeight="1">
      <c r="B909" s="510"/>
      <c r="C909" s="310">
        <v>1.35</v>
      </c>
      <c r="D909" s="310">
        <v>2.5499999999999998</v>
      </c>
      <c r="E909" s="310">
        <f>(0.9*2.1)</f>
        <v>1.8900000000000001</v>
      </c>
      <c r="F909" s="310">
        <v>1</v>
      </c>
      <c r="G909" s="310">
        <f>((C909*D909)*F909)-E909</f>
        <v>1.5524999999999998</v>
      </c>
      <c r="H909" s="299"/>
      <c r="I909" s="298"/>
    </row>
    <row r="910" spans="2:16">
      <c r="B910" s="530"/>
      <c r="C910" s="530"/>
      <c r="D910" s="530"/>
      <c r="E910" s="315"/>
      <c r="F910" s="361" t="s">
        <v>221</v>
      </c>
      <c r="G910" s="316">
        <f>SUM(G906:G909)-E910+ 2.91</f>
        <v>32.024999999999999</v>
      </c>
      <c r="H910" s="305" t="s">
        <v>90</v>
      </c>
    </row>
    <row r="911" spans="2:16">
      <c r="B911" s="348"/>
      <c r="C911" s="320"/>
      <c r="D911" s="308"/>
      <c r="E911" s="309"/>
      <c r="F911" s="23"/>
      <c r="G911" s="23"/>
      <c r="H911" s="23"/>
    </row>
    <row r="912" spans="2:16" s="26" customFormat="1" ht="18.75">
      <c r="B912" s="25" t="s">
        <v>438</v>
      </c>
      <c r="C912" s="25"/>
      <c r="D912" s="25"/>
      <c r="E912" s="28"/>
      <c r="F912" s="28"/>
      <c r="G912" s="28"/>
      <c r="H912" s="28"/>
    </row>
    <row r="913" spans="2:8">
      <c r="B913" s="23"/>
      <c r="C913" s="23"/>
      <c r="D913" s="23"/>
      <c r="E913" s="23"/>
      <c r="F913" s="23"/>
      <c r="G913" s="23"/>
      <c r="H913" s="23"/>
    </row>
    <row r="914" spans="2:8" ht="36" customHeight="1">
      <c r="B914" s="513" t="s">
        <v>439</v>
      </c>
      <c r="C914" s="513"/>
      <c r="D914" s="513"/>
      <c r="E914" s="513"/>
      <c r="F914" s="513"/>
      <c r="G914" s="513"/>
      <c r="H914" s="513"/>
    </row>
    <row r="915" spans="2:8" ht="12.75" customHeight="1">
      <c r="B915" s="23"/>
      <c r="C915" s="23"/>
      <c r="D915" s="23"/>
      <c r="E915" s="23"/>
      <c r="F915" s="23"/>
      <c r="G915" s="23"/>
      <c r="H915" s="23"/>
    </row>
    <row r="916" spans="2:8">
      <c r="B916" s="23"/>
      <c r="C916" s="301" t="s">
        <v>127</v>
      </c>
      <c r="D916" s="301" t="s">
        <v>122</v>
      </c>
      <c r="E916" s="23"/>
      <c r="F916" s="23"/>
      <c r="G916" s="23"/>
      <c r="H916" s="23"/>
    </row>
    <row r="917" spans="2:8">
      <c r="B917" s="23"/>
      <c r="C917" s="302" t="s">
        <v>137</v>
      </c>
      <c r="D917" s="310">
        <v>1</v>
      </c>
      <c r="E917" s="23"/>
      <c r="F917" s="23"/>
      <c r="G917" s="23"/>
      <c r="H917" s="23"/>
    </row>
    <row r="918" spans="2:8">
      <c r="B918" s="23"/>
      <c r="C918" s="302" t="s">
        <v>136</v>
      </c>
      <c r="D918" s="310">
        <v>1</v>
      </c>
      <c r="E918" s="23"/>
      <c r="F918" s="23"/>
      <c r="G918" s="23"/>
      <c r="H918" s="23"/>
    </row>
    <row r="919" spans="2:8">
      <c r="B919" s="23"/>
      <c r="C919" s="355"/>
      <c r="D919" s="304">
        <f>SUM(D916:D918)</f>
        <v>2</v>
      </c>
      <c r="E919" s="305" t="s">
        <v>128</v>
      </c>
      <c r="F919" s="23"/>
      <c r="G919" s="23"/>
      <c r="H919" s="23"/>
    </row>
    <row r="920" spans="2:8">
      <c r="B920" s="23"/>
      <c r="C920" s="355"/>
      <c r="D920" s="355"/>
      <c r="E920" s="23"/>
      <c r="F920" s="23"/>
      <c r="G920" s="23"/>
      <c r="H920" s="23"/>
    </row>
    <row r="921" spans="2:8" ht="37.5" customHeight="1">
      <c r="B921" s="513" t="s">
        <v>440</v>
      </c>
      <c r="C921" s="513"/>
      <c r="D921" s="513"/>
      <c r="E921" s="513"/>
      <c r="F921" s="513"/>
      <c r="G921" s="513"/>
      <c r="H921" s="513"/>
    </row>
    <row r="922" spans="2:8" ht="12.75" customHeight="1">
      <c r="B922" s="23"/>
      <c r="C922" s="23"/>
      <c r="D922" s="23"/>
      <c r="E922" s="23"/>
      <c r="F922" s="23"/>
      <c r="G922" s="23"/>
      <c r="H922" s="23"/>
    </row>
    <row r="923" spans="2:8">
      <c r="B923" s="23"/>
      <c r="C923" s="301" t="s">
        <v>127</v>
      </c>
      <c r="D923" s="301" t="s">
        <v>122</v>
      </c>
      <c r="E923" s="23"/>
      <c r="F923" s="23"/>
      <c r="G923" s="23"/>
      <c r="H923" s="23"/>
    </row>
    <row r="924" spans="2:8">
      <c r="B924" s="23"/>
      <c r="C924" s="302" t="s">
        <v>137</v>
      </c>
      <c r="D924" s="310">
        <v>1</v>
      </c>
      <c r="E924" s="23"/>
      <c r="F924" s="23"/>
      <c r="G924" s="23"/>
      <c r="H924" s="23"/>
    </row>
    <row r="925" spans="2:8">
      <c r="B925" s="23"/>
      <c r="C925" s="302" t="s">
        <v>136</v>
      </c>
      <c r="D925" s="310">
        <v>1</v>
      </c>
      <c r="E925" s="23"/>
      <c r="F925" s="23"/>
      <c r="G925" s="23"/>
      <c r="H925" s="23"/>
    </row>
    <row r="926" spans="2:8">
      <c r="B926" s="23"/>
      <c r="C926" s="355"/>
      <c r="D926" s="304">
        <f>SUM(D923:D925)</f>
        <v>2</v>
      </c>
      <c r="E926" s="305" t="s">
        <v>128</v>
      </c>
      <c r="F926" s="23"/>
      <c r="G926" s="23"/>
      <c r="H926" s="23"/>
    </row>
    <row r="927" spans="2:8">
      <c r="B927" s="23"/>
      <c r="C927" s="355"/>
      <c r="D927" s="355"/>
      <c r="E927" s="23"/>
      <c r="F927" s="23"/>
      <c r="G927" s="23"/>
      <c r="H927" s="23"/>
    </row>
    <row r="928" spans="2:8" ht="48.75" customHeight="1">
      <c r="B928" s="513" t="s">
        <v>441</v>
      </c>
      <c r="C928" s="513"/>
      <c r="D928" s="513"/>
      <c r="E928" s="513"/>
      <c r="F928" s="513"/>
      <c r="G928" s="513"/>
      <c r="H928" s="513"/>
    </row>
    <row r="929" spans="2:8" ht="12.75" customHeight="1">
      <c r="B929" s="23"/>
      <c r="C929" s="23"/>
      <c r="D929" s="23"/>
      <c r="E929" s="23"/>
      <c r="F929" s="23"/>
      <c r="G929" s="23"/>
      <c r="H929" s="23"/>
    </row>
    <row r="930" spans="2:8">
      <c r="B930" s="23"/>
      <c r="C930" s="301" t="s">
        <v>127</v>
      </c>
      <c r="D930" s="301" t="s">
        <v>122</v>
      </c>
      <c r="E930" s="23"/>
      <c r="F930" s="23"/>
      <c r="G930" s="23"/>
      <c r="H930" s="23"/>
    </row>
    <row r="931" spans="2:8">
      <c r="B931" s="23"/>
      <c r="C931" s="302" t="s">
        <v>135</v>
      </c>
      <c r="D931" s="310">
        <v>1</v>
      </c>
      <c r="E931" s="23"/>
      <c r="F931" s="23"/>
      <c r="G931" s="23"/>
      <c r="H931" s="23"/>
    </row>
    <row r="932" spans="2:8">
      <c r="B932" s="23"/>
      <c r="C932" s="355"/>
      <c r="D932" s="304">
        <f>SUM(D930:D931)</f>
        <v>1</v>
      </c>
      <c r="E932" s="305" t="s">
        <v>128</v>
      </c>
      <c r="F932" s="23"/>
      <c r="G932" s="23"/>
      <c r="H932" s="23"/>
    </row>
    <row r="933" spans="2:8">
      <c r="B933" s="23"/>
      <c r="C933" s="355"/>
      <c r="D933" s="355"/>
      <c r="E933" s="23"/>
      <c r="F933" s="23"/>
      <c r="G933" s="23"/>
      <c r="H933" s="23"/>
    </row>
    <row r="934" spans="2:8" ht="35.25" customHeight="1">
      <c r="B934" s="513" t="s">
        <v>442</v>
      </c>
      <c r="C934" s="513"/>
      <c r="D934" s="513"/>
      <c r="E934" s="513"/>
      <c r="F934" s="513"/>
      <c r="G934" s="513"/>
      <c r="H934" s="513"/>
    </row>
    <row r="935" spans="2:8" ht="12.75" customHeight="1">
      <c r="B935" s="23"/>
      <c r="C935" s="23"/>
      <c r="D935" s="23"/>
      <c r="E935" s="23"/>
      <c r="F935" s="23"/>
      <c r="G935" s="23"/>
      <c r="H935" s="23"/>
    </row>
    <row r="936" spans="2:8">
      <c r="B936" s="23"/>
      <c r="C936" s="301" t="s">
        <v>127</v>
      </c>
      <c r="D936" s="301" t="s">
        <v>122</v>
      </c>
      <c r="E936" s="23"/>
      <c r="F936" s="23"/>
      <c r="G936" s="23"/>
      <c r="H936" s="23"/>
    </row>
    <row r="937" spans="2:8">
      <c r="B937" s="23"/>
      <c r="C937" s="302" t="s">
        <v>137</v>
      </c>
      <c r="D937" s="310">
        <v>1</v>
      </c>
      <c r="E937" s="23"/>
      <c r="F937" s="23"/>
      <c r="G937" s="23"/>
      <c r="H937" s="23"/>
    </row>
    <row r="938" spans="2:8">
      <c r="B938" s="23"/>
      <c r="C938" s="302" t="s">
        <v>136</v>
      </c>
      <c r="D938" s="310">
        <v>1</v>
      </c>
      <c r="E938" s="23"/>
      <c r="F938" s="23"/>
      <c r="G938" s="23"/>
      <c r="H938" s="23"/>
    </row>
    <row r="939" spans="2:8">
      <c r="B939" s="23"/>
      <c r="C939" s="355"/>
      <c r="D939" s="304">
        <f>SUM(D936:D938)</f>
        <v>2</v>
      </c>
      <c r="E939" s="305" t="s">
        <v>128</v>
      </c>
      <c r="F939" s="23"/>
      <c r="G939" s="23"/>
      <c r="H939" s="23"/>
    </row>
    <row r="940" spans="2:8">
      <c r="B940" s="23"/>
      <c r="C940" s="355"/>
      <c r="D940" s="355"/>
      <c r="E940" s="23"/>
      <c r="F940" s="23"/>
      <c r="G940" s="23"/>
      <c r="H940" s="23"/>
    </row>
    <row r="941" spans="2:8" ht="35.25" customHeight="1">
      <c r="B941" s="513" t="s">
        <v>443</v>
      </c>
      <c r="C941" s="513"/>
      <c r="D941" s="513"/>
      <c r="E941" s="513"/>
      <c r="F941" s="513"/>
      <c r="G941" s="513"/>
      <c r="H941" s="513"/>
    </row>
    <row r="942" spans="2:8" ht="12.75" customHeight="1">
      <c r="B942" s="23"/>
      <c r="C942" s="23"/>
      <c r="D942" s="23"/>
      <c r="E942" s="23"/>
      <c r="F942" s="23"/>
      <c r="G942" s="23"/>
      <c r="H942" s="23"/>
    </row>
    <row r="943" spans="2:8">
      <c r="B943" s="23"/>
      <c r="C943" s="301" t="s">
        <v>127</v>
      </c>
      <c r="D943" s="301" t="s">
        <v>122</v>
      </c>
      <c r="E943" s="23"/>
      <c r="F943" s="23"/>
      <c r="G943" s="23"/>
      <c r="H943" s="23"/>
    </row>
    <row r="944" spans="2:8">
      <c r="B944" s="23"/>
      <c r="C944" s="302" t="s">
        <v>202</v>
      </c>
      <c r="D944" s="310">
        <v>1</v>
      </c>
      <c r="E944" s="23"/>
      <c r="F944" s="23"/>
      <c r="G944" s="23"/>
      <c r="H944" s="23"/>
    </row>
    <row r="945" spans="2:9">
      <c r="B945" s="23"/>
      <c r="C945" s="355"/>
      <c r="D945" s="304">
        <f>SUM(D943:D944)</f>
        <v>1</v>
      </c>
      <c r="E945" s="305" t="s">
        <v>128</v>
      </c>
      <c r="F945" s="23"/>
      <c r="G945" s="23"/>
      <c r="H945" s="23"/>
    </row>
    <row r="946" spans="2:9">
      <c r="B946" s="23"/>
      <c r="C946" s="355"/>
      <c r="D946" s="355"/>
      <c r="E946" s="23"/>
      <c r="F946" s="23"/>
      <c r="G946" s="23"/>
      <c r="H946" s="23"/>
    </row>
    <row r="947" spans="2:9" ht="35.25" customHeight="1">
      <c r="B947" s="513" t="s">
        <v>444</v>
      </c>
      <c r="C947" s="513"/>
      <c r="D947" s="513"/>
      <c r="E947" s="513"/>
      <c r="F947" s="513"/>
      <c r="G947" s="513"/>
      <c r="H947" s="513"/>
    </row>
    <row r="948" spans="2:9" ht="12.75" customHeight="1">
      <c r="B948" s="23"/>
      <c r="C948" s="23"/>
      <c r="D948" s="23"/>
      <c r="E948" s="23"/>
      <c r="F948" s="23"/>
      <c r="G948" s="23"/>
      <c r="H948" s="23"/>
    </row>
    <row r="949" spans="2:9">
      <c r="B949" s="23"/>
      <c r="C949" s="301" t="s">
        <v>127</v>
      </c>
      <c r="D949" s="301" t="s">
        <v>122</v>
      </c>
      <c r="E949" s="23"/>
      <c r="F949" s="23"/>
      <c r="G949" s="23"/>
      <c r="H949" s="23"/>
    </row>
    <row r="950" spans="2:9">
      <c r="B950" s="23"/>
      <c r="C950" s="302" t="s">
        <v>137</v>
      </c>
      <c r="D950" s="310">
        <v>1</v>
      </c>
      <c r="E950" s="23"/>
      <c r="F950" s="23"/>
      <c r="G950" s="23"/>
      <c r="H950" s="23"/>
    </row>
    <row r="951" spans="2:9">
      <c r="B951" s="23"/>
      <c r="C951" s="302" t="s">
        <v>136</v>
      </c>
      <c r="D951" s="310">
        <v>1</v>
      </c>
      <c r="E951" s="23"/>
      <c r="F951" s="23"/>
      <c r="G951" s="23"/>
      <c r="H951" s="23"/>
    </row>
    <row r="952" spans="2:9">
      <c r="B952" s="23"/>
      <c r="C952" s="302" t="s">
        <v>202</v>
      </c>
      <c r="D952" s="310">
        <v>1</v>
      </c>
      <c r="E952" s="23"/>
      <c r="F952" s="23"/>
      <c r="G952" s="23"/>
      <c r="H952" s="23"/>
    </row>
    <row r="953" spans="2:9">
      <c r="B953" s="23"/>
      <c r="C953" s="355"/>
      <c r="D953" s="304">
        <f>SUM(D949:D952)</f>
        <v>3</v>
      </c>
      <c r="E953" s="305" t="s">
        <v>128</v>
      </c>
      <c r="F953" s="23"/>
      <c r="G953" s="23"/>
      <c r="H953" s="23"/>
    </row>
    <row r="954" spans="2:9">
      <c r="B954" s="23"/>
      <c r="C954" s="355"/>
      <c r="D954" s="355"/>
      <c r="E954" s="23"/>
      <c r="F954" s="23"/>
      <c r="G954" s="23"/>
      <c r="H954" s="23"/>
    </row>
    <row r="955" spans="2:9" s="26" customFormat="1" ht="18.75">
      <c r="B955" s="25" t="s">
        <v>445</v>
      </c>
      <c r="C955" s="25"/>
      <c r="D955" s="25"/>
      <c r="E955" s="28"/>
      <c r="F955" s="28"/>
      <c r="G955" s="28"/>
      <c r="H955" s="28"/>
    </row>
    <row r="956" spans="2:9" s="26" customFormat="1" ht="13.5" customHeight="1">
      <c r="B956" s="297"/>
      <c r="C956" s="297"/>
      <c r="D956" s="297"/>
      <c r="E956" s="345"/>
      <c r="F956" s="345"/>
      <c r="G956" s="345"/>
      <c r="H956" s="345"/>
      <c r="I956" s="300"/>
    </row>
    <row r="957" spans="2:9" ht="21.75" customHeight="1">
      <c r="B957" s="513" t="s">
        <v>446</v>
      </c>
      <c r="C957" s="513"/>
      <c r="D957" s="513"/>
      <c r="E957" s="513"/>
      <c r="F957" s="513"/>
      <c r="G957" s="513"/>
      <c r="H957" s="513"/>
    </row>
    <row r="958" spans="2:9" ht="12.75" customHeight="1">
      <c r="B958" s="23"/>
      <c r="C958" s="23"/>
      <c r="D958" s="23"/>
      <c r="E958" s="23"/>
      <c r="F958" s="23"/>
      <c r="G958" s="23"/>
      <c r="H958" s="23"/>
    </row>
    <row r="959" spans="2:9" s="13" customFormat="1">
      <c r="B959" s="301" t="s">
        <v>127</v>
      </c>
      <c r="C959" s="301" t="s">
        <v>120</v>
      </c>
      <c r="D959" s="301" t="s">
        <v>122</v>
      </c>
      <c r="E959" s="301" t="s">
        <v>163</v>
      </c>
      <c r="F959" s="355"/>
      <c r="G959" s="355"/>
      <c r="H959" s="355"/>
      <c r="I959" s="298"/>
    </row>
    <row r="960" spans="2:9" s="13" customFormat="1">
      <c r="B960" s="302" t="s">
        <v>137</v>
      </c>
      <c r="C960" s="310">
        <v>1.17</v>
      </c>
      <c r="D960" s="310">
        <v>1</v>
      </c>
      <c r="E960" s="310">
        <f>C960*D960</f>
        <v>1.17</v>
      </c>
      <c r="F960" s="325"/>
      <c r="G960" s="325"/>
      <c r="H960" s="325"/>
      <c r="I960" s="298"/>
    </row>
    <row r="961" spans="2:9" s="13" customFormat="1">
      <c r="B961" s="302" t="s">
        <v>136</v>
      </c>
      <c r="C961" s="362">
        <v>1.17</v>
      </c>
      <c r="D961" s="310">
        <v>1</v>
      </c>
      <c r="E961" s="310">
        <f>C961*D961</f>
        <v>1.17</v>
      </c>
      <c r="F961" s="325"/>
      <c r="G961" s="325"/>
      <c r="H961" s="325"/>
      <c r="I961" s="298"/>
    </row>
    <row r="962" spans="2:9" s="13" customFormat="1">
      <c r="B962" s="297"/>
      <c r="C962" s="297"/>
      <c r="D962" s="298"/>
      <c r="E962" s="304">
        <f>SUM(E960:E961)</f>
        <v>2.34</v>
      </c>
      <c r="F962" s="305" t="s">
        <v>85</v>
      </c>
      <c r="G962" s="298"/>
      <c r="H962" s="298"/>
      <c r="I962" s="298"/>
    </row>
    <row r="963" spans="2:9" s="13" customFormat="1">
      <c r="B963" s="297"/>
      <c r="C963" s="298"/>
      <c r="D963" s="298"/>
      <c r="E963" s="298"/>
      <c r="F963" s="298"/>
      <c r="G963" s="298"/>
      <c r="H963" s="298"/>
      <c r="I963" s="298"/>
    </row>
    <row r="964" spans="2:9" ht="21.75" customHeight="1">
      <c r="B964" s="513" t="s">
        <v>447</v>
      </c>
      <c r="C964" s="513"/>
      <c r="D964" s="513"/>
      <c r="E964" s="513"/>
      <c r="F964" s="513"/>
      <c r="G964" s="513"/>
      <c r="H964" s="513"/>
    </row>
    <row r="965" spans="2:9" ht="12.75" customHeight="1">
      <c r="B965" s="23"/>
      <c r="C965" s="23"/>
      <c r="D965" s="23"/>
      <c r="E965" s="23"/>
      <c r="F965" s="23"/>
      <c r="G965" s="23"/>
      <c r="H965" s="23"/>
    </row>
    <row r="966" spans="2:9" s="13" customFormat="1">
      <c r="B966" s="301" t="s">
        <v>127</v>
      </c>
      <c r="C966" s="301" t="s">
        <v>120</v>
      </c>
      <c r="D966" s="301" t="s">
        <v>122</v>
      </c>
      <c r="E966" s="301" t="s">
        <v>163</v>
      </c>
      <c r="F966" s="355"/>
      <c r="G966" s="355"/>
      <c r="H966" s="355"/>
      <c r="I966" s="298"/>
    </row>
    <row r="967" spans="2:9" s="13" customFormat="1">
      <c r="B967" s="302" t="s">
        <v>137</v>
      </c>
      <c r="C967" s="310">
        <v>1.3</v>
      </c>
      <c r="D967" s="310">
        <v>1</v>
      </c>
      <c r="E967" s="310">
        <f>C967*D967</f>
        <v>1.3</v>
      </c>
      <c r="F967" s="325"/>
      <c r="G967" s="325"/>
      <c r="H967" s="325"/>
      <c r="I967" s="298"/>
    </row>
    <row r="968" spans="2:9" s="13" customFormat="1">
      <c r="B968" s="302" t="s">
        <v>136</v>
      </c>
      <c r="C968" s="362">
        <v>1.3</v>
      </c>
      <c r="D968" s="310">
        <v>1</v>
      </c>
      <c r="E968" s="310">
        <f>C968*D968</f>
        <v>1.3</v>
      </c>
      <c r="F968" s="325"/>
      <c r="G968" s="325"/>
      <c r="H968" s="325"/>
      <c r="I968" s="298"/>
    </row>
    <row r="969" spans="2:9" s="13" customFormat="1">
      <c r="B969" s="297"/>
      <c r="C969" s="297"/>
      <c r="D969" s="298"/>
      <c r="E969" s="304">
        <f>SUM(E967:E968)</f>
        <v>2.6</v>
      </c>
      <c r="F969" s="305" t="s">
        <v>85</v>
      </c>
      <c r="G969" s="298"/>
      <c r="H969" s="298"/>
      <c r="I969" s="298"/>
    </row>
    <row r="970" spans="2:9" s="13" customFormat="1">
      <c r="B970" s="297"/>
      <c r="C970" s="298"/>
      <c r="D970" s="298"/>
      <c r="E970" s="298"/>
      <c r="F970" s="298"/>
      <c r="G970" s="298"/>
      <c r="H970" s="298"/>
      <c r="I970" s="298"/>
    </row>
    <row r="971" spans="2:9" ht="21.75" customHeight="1">
      <c r="B971" s="513" t="s">
        <v>448</v>
      </c>
      <c r="C971" s="513"/>
      <c r="D971" s="513"/>
      <c r="E971" s="513"/>
      <c r="F971" s="513"/>
      <c r="G971" s="513"/>
      <c r="H971" s="513"/>
    </row>
    <row r="972" spans="2:9" ht="12.75" customHeight="1">
      <c r="B972" s="23"/>
      <c r="C972" s="23"/>
      <c r="D972" s="23"/>
      <c r="E972" s="23"/>
      <c r="F972" s="23"/>
      <c r="G972" s="23"/>
      <c r="H972" s="23"/>
    </row>
    <row r="973" spans="2:9">
      <c r="B973" s="23"/>
      <c r="C973" s="301" t="s">
        <v>127</v>
      </c>
      <c r="D973" s="301" t="s">
        <v>162</v>
      </c>
      <c r="E973" s="23"/>
      <c r="F973" s="23"/>
      <c r="G973" s="23"/>
      <c r="H973" s="23"/>
    </row>
    <row r="974" spans="2:9">
      <c r="B974" s="23"/>
      <c r="C974" s="302" t="s">
        <v>137</v>
      </c>
      <c r="D974" s="310">
        <v>0.24399999999999999</v>
      </c>
      <c r="E974" s="23"/>
      <c r="F974" s="23"/>
      <c r="G974" s="23"/>
      <c r="H974" s="23"/>
    </row>
    <row r="975" spans="2:9">
      <c r="B975" s="23"/>
      <c r="C975" s="302" t="s">
        <v>136</v>
      </c>
      <c r="D975" s="310">
        <v>0.24399999999999999</v>
      </c>
      <c r="E975" s="23"/>
      <c r="F975" s="23"/>
      <c r="G975" s="23"/>
      <c r="H975" s="23"/>
    </row>
    <row r="976" spans="2:9">
      <c r="B976" s="23"/>
      <c r="C976" s="355"/>
      <c r="D976" s="304">
        <f>SUM(D973:D975)</f>
        <v>0.48799999999999999</v>
      </c>
      <c r="E976" s="305" t="s">
        <v>90</v>
      </c>
      <c r="F976" s="23"/>
      <c r="G976" s="23"/>
      <c r="H976" s="23"/>
    </row>
    <row r="977" spans="2:8">
      <c r="B977" s="23"/>
      <c r="C977" s="355"/>
      <c r="D977" s="355"/>
      <c r="E977" s="23"/>
      <c r="F977" s="23"/>
      <c r="G977" s="23"/>
      <c r="H977" s="23"/>
    </row>
    <row r="978" spans="2:8" s="26" customFormat="1" ht="18.75">
      <c r="B978" s="25" t="s">
        <v>490</v>
      </c>
      <c r="C978" s="25"/>
      <c r="D978" s="25"/>
      <c r="E978" s="28"/>
      <c r="F978" s="28"/>
      <c r="G978" s="28"/>
      <c r="H978" s="28"/>
    </row>
    <row r="979" spans="2:8">
      <c r="B979" s="23"/>
      <c r="C979" s="23"/>
      <c r="D979" s="346"/>
      <c r="E979" s="297"/>
      <c r="F979" s="23"/>
      <c r="G979" s="23"/>
      <c r="H979" s="23"/>
    </row>
    <row r="980" spans="2:8">
      <c r="B980" s="524" t="s">
        <v>491</v>
      </c>
      <c r="C980" s="524"/>
      <c r="D980" s="524"/>
      <c r="E980" s="524"/>
      <c r="F980" s="524"/>
      <c r="G980" s="524"/>
      <c r="H980" s="299"/>
    </row>
    <row r="981" spans="2:8">
      <c r="B981" s="23"/>
      <c r="C981" s="23"/>
      <c r="D981" s="23"/>
      <c r="E981" s="23"/>
      <c r="F981" s="23"/>
      <c r="G981" s="23"/>
      <c r="H981" s="23"/>
    </row>
    <row r="982" spans="2:8">
      <c r="B982" s="23"/>
      <c r="C982" s="301" t="s">
        <v>127</v>
      </c>
      <c r="D982" s="301" t="s">
        <v>122</v>
      </c>
      <c r="E982" s="23"/>
      <c r="F982" s="23"/>
      <c r="G982" s="23"/>
      <c r="H982" s="23"/>
    </row>
    <row r="983" spans="2:8" ht="31.5">
      <c r="B983" s="23"/>
      <c r="C983" s="302" t="s">
        <v>132</v>
      </c>
      <c r="D983" s="310">
        <v>3</v>
      </c>
      <c r="E983" s="23"/>
      <c r="F983" s="23"/>
      <c r="G983" s="23"/>
      <c r="H983" s="23"/>
    </row>
    <row r="984" spans="2:8">
      <c r="B984" s="23"/>
      <c r="C984" s="302" t="s">
        <v>202</v>
      </c>
      <c r="D984" s="310">
        <v>3</v>
      </c>
      <c r="E984" s="23"/>
      <c r="F984" s="23"/>
      <c r="G984" s="23"/>
      <c r="H984" s="23"/>
    </row>
    <row r="985" spans="2:8">
      <c r="B985" s="23"/>
      <c r="C985" s="302" t="s">
        <v>133</v>
      </c>
      <c r="D985" s="310">
        <v>3</v>
      </c>
      <c r="E985" s="23"/>
      <c r="F985" s="23"/>
      <c r="G985" s="23"/>
      <c r="H985" s="23"/>
    </row>
    <row r="986" spans="2:8">
      <c r="B986" s="23"/>
      <c r="C986" s="302" t="s">
        <v>134</v>
      </c>
      <c r="D986" s="310">
        <v>3</v>
      </c>
      <c r="E986" s="23"/>
      <c r="F986" s="23"/>
      <c r="G986" s="23"/>
      <c r="H986" s="23"/>
    </row>
    <row r="987" spans="2:8">
      <c r="B987" s="23"/>
      <c r="C987" s="301" t="s">
        <v>130</v>
      </c>
      <c r="D987" s="310">
        <v>6</v>
      </c>
      <c r="E987" s="23"/>
      <c r="F987" s="23"/>
      <c r="G987" s="23"/>
      <c r="H987" s="23"/>
    </row>
    <row r="988" spans="2:8">
      <c r="B988" s="23"/>
      <c r="C988" s="301" t="s">
        <v>131</v>
      </c>
      <c r="D988" s="310">
        <v>6</v>
      </c>
      <c r="E988" s="23"/>
      <c r="F988" s="23"/>
      <c r="G988" s="23"/>
      <c r="H988" s="23"/>
    </row>
    <row r="989" spans="2:8">
      <c r="B989" s="23"/>
      <c r="C989" s="23"/>
      <c r="D989" s="304">
        <f>SUM(D981:D988)</f>
        <v>24</v>
      </c>
      <c r="E989" s="305" t="s">
        <v>128</v>
      </c>
      <c r="F989" s="23"/>
      <c r="G989" s="23"/>
      <c r="H989" s="23"/>
    </row>
    <row r="990" spans="2:8">
      <c r="B990" s="23"/>
      <c r="C990" s="23"/>
      <c r="D990" s="346"/>
      <c r="E990" s="297"/>
      <c r="F990" s="23"/>
      <c r="G990" s="23"/>
      <c r="H990" s="23"/>
    </row>
    <row r="991" spans="2:8" ht="33.75" customHeight="1">
      <c r="B991" s="523" t="s">
        <v>492</v>
      </c>
      <c r="C991" s="523"/>
      <c r="D991" s="523"/>
      <c r="E991" s="523"/>
      <c r="F991" s="523"/>
      <c r="G991" s="523"/>
      <c r="H991" s="299"/>
    </row>
    <row r="992" spans="2:8">
      <c r="B992" s="23"/>
      <c r="C992" s="23"/>
      <c r="D992" s="23"/>
      <c r="E992" s="23"/>
      <c r="F992" s="23"/>
      <c r="G992" s="23"/>
      <c r="H992" s="23"/>
    </row>
    <row r="993" spans="2:8">
      <c r="B993" s="23"/>
      <c r="C993" s="301" t="s">
        <v>127</v>
      </c>
      <c r="D993" s="301" t="s">
        <v>122</v>
      </c>
      <c r="E993" s="23"/>
      <c r="F993" s="23"/>
      <c r="G993" s="23"/>
      <c r="H993" s="23"/>
    </row>
    <row r="994" spans="2:8">
      <c r="B994" s="23"/>
      <c r="C994" s="301" t="s">
        <v>130</v>
      </c>
      <c r="D994" s="310">
        <v>2</v>
      </c>
      <c r="E994" s="23"/>
      <c r="F994" s="23"/>
      <c r="G994" s="23"/>
      <c r="H994" s="23"/>
    </row>
    <row r="995" spans="2:8">
      <c r="B995" s="23"/>
      <c r="C995" s="301" t="s">
        <v>131</v>
      </c>
      <c r="D995" s="310">
        <v>2</v>
      </c>
      <c r="E995" s="23"/>
      <c r="F995" s="23"/>
      <c r="G995" s="23"/>
      <c r="H995" s="23"/>
    </row>
    <row r="996" spans="2:8">
      <c r="B996" s="23"/>
      <c r="C996" s="23"/>
      <c r="D996" s="304">
        <f>SUM(D992:D995)</f>
        <v>4</v>
      </c>
      <c r="E996" s="305" t="s">
        <v>128</v>
      </c>
      <c r="F996" s="23"/>
      <c r="G996" s="23"/>
      <c r="H996" s="23"/>
    </row>
    <row r="997" spans="2:8">
      <c r="B997" s="23"/>
      <c r="C997" s="23"/>
      <c r="D997" s="346"/>
      <c r="E997" s="297"/>
      <c r="F997" s="23"/>
      <c r="G997" s="23"/>
      <c r="H997" s="23"/>
    </row>
    <row r="998" spans="2:8" ht="45.75" customHeight="1">
      <c r="B998" s="523" t="s">
        <v>493</v>
      </c>
      <c r="C998" s="523"/>
      <c r="D998" s="523"/>
      <c r="E998" s="523"/>
      <c r="F998" s="523"/>
      <c r="G998" s="523"/>
      <c r="H998" s="299"/>
    </row>
    <row r="999" spans="2:8">
      <c r="B999" s="23"/>
      <c r="C999" s="23"/>
      <c r="D999" s="23"/>
      <c r="E999" s="23"/>
      <c r="F999" s="23"/>
      <c r="G999" s="23"/>
      <c r="H999" s="23"/>
    </row>
    <row r="1000" spans="2:8">
      <c r="B1000" s="23"/>
      <c r="C1000" s="301" t="s">
        <v>127</v>
      </c>
      <c r="D1000" s="301" t="s">
        <v>122</v>
      </c>
      <c r="E1000" s="23"/>
      <c r="F1000" s="23"/>
      <c r="G1000" s="23"/>
      <c r="H1000" s="23"/>
    </row>
    <row r="1001" spans="2:8" ht="31.5">
      <c r="B1001" s="23"/>
      <c r="C1001" s="302" t="s">
        <v>132</v>
      </c>
      <c r="D1001" s="310">
        <v>1</v>
      </c>
      <c r="E1001" s="23"/>
      <c r="F1001" s="23"/>
      <c r="G1001" s="23"/>
      <c r="H1001" s="23"/>
    </row>
    <row r="1002" spans="2:8">
      <c r="B1002" s="23"/>
      <c r="C1002" s="302" t="s">
        <v>202</v>
      </c>
      <c r="D1002" s="310">
        <v>1</v>
      </c>
      <c r="E1002" s="23"/>
      <c r="F1002" s="23"/>
      <c r="G1002" s="23"/>
      <c r="H1002" s="23"/>
    </row>
    <row r="1003" spans="2:8">
      <c r="B1003" s="23"/>
      <c r="C1003" s="302" t="s">
        <v>133</v>
      </c>
      <c r="D1003" s="310">
        <v>1</v>
      </c>
      <c r="E1003" s="23"/>
      <c r="F1003" s="23"/>
      <c r="G1003" s="23"/>
      <c r="H1003" s="23"/>
    </row>
    <row r="1004" spans="2:8">
      <c r="B1004" s="23"/>
      <c r="C1004" s="302" t="s">
        <v>134</v>
      </c>
      <c r="D1004" s="310">
        <v>1</v>
      </c>
      <c r="E1004" s="23"/>
      <c r="F1004" s="23"/>
      <c r="G1004" s="23"/>
      <c r="H1004" s="23"/>
    </row>
    <row r="1005" spans="2:8">
      <c r="B1005" s="23"/>
      <c r="C1005" s="23"/>
      <c r="D1005" s="304">
        <f>SUM(D999:D1004)</f>
        <v>4</v>
      </c>
      <c r="E1005" s="305" t="s">
        <v>128</v>
      </c>
      <c r="F1005" s="23"/>
      <c r="G1005" s="23"/>
      <c r="H1005" s="23"/>
    </row>
    <row r="1006" spans="2:8">
      <c r="B1006" s="23"/>
      <c r="C1006" s="23"/>
      <c r="D1006" s="346"/>
      <c r="E1006" s="297"/>
      <c r="F1006" s="23"/>
      <c r="G1006" s="23"/>
      <c r="H1006" s="23"/>
    </row>
    <row r="1007" spans="2:8" s="26" customFormat="1" ht="18.75">
      <c r="B1007" s="25" t="s">
        <v>494</v>
      </c>
      <c r="C1007" s="25"/>
      <c r="D1007" s="25"/>
      <c r="E1007" s="28"/>
      <c r="F1007" s="28"/>
      <c r="G1007" s="28"/>
      <c r="H1007" s="28"/>
    </row>
    <row r="1008" spans="2:8">
      <c r="B1008" s="23"/>
      <c r="C1008" s="23"/>
      <c r="D1008" s="346"/>
      <c r="E1008" s="297"/>
      <c r="F1008" s="23"/>
      <c r="G1008" s="23"/>
      <c r="H1008" s="23"/>
    </row>
    <row r="1009" spans="2:9" ht="33.75" customHeight="1">
      <c r="B1009" s="523" t="s">
        <v>495</v>
      </c>
      <c r="C1009" s="523"/>
      <c r="D1009" s="523"/>
      <c r="E1009" s="523"/>
      <c r="F1009" s="523"/>
      <c r="G1009" s="523"/>
      <c r="H1009" s="523"/>
    </row>
    <row r="1010" spans="2:9">
      <c r="B1010" s="23"/>
      <c r="C1010" s="23"/>
      <c r="D1010" s="23"/>
      <c r="E1010" s="23"/>
      <c r="F1010" s="23"/>
      <c r="G1010" s="23"/>
      <c r="H1010" s="23"/>
    </row>
    <row r="1011" spans="2:9">
      <c r="B1011" s="23"/>
      <c r="C1011" s="301" t="s">
        <v>127</v>
      </c>
      <c r="D1011" s="301" t="s">
        <v>122</v>
      </c>
      <c r="E1011" s="23"/>
      <c r="F1011" s="23"/>
      <c r="G1011" s="23"/>
      <c r="H1011" s="23"/>
    </row>
    <row r="1012" spans="2:9">
      <c r="B1012" s="23"/>
      <c r="C1012" s="302" t="s">
        <v>134</v>
      </c>
      <c r="D1012" s="310">
        <v>1</v>
      </c>
      <c r="E1012" s="23"/>
      <c r="F1012" s="23"/>
      <c r="G1012" s="23"/>
      <c r="H1012" s="23"/>
    </row>
    <row r="1013" spans="2:9" ht="31.5">
      <c r="B1013" s="23"/>
      <c r="C1013" s="302" t="s">
        <v>132</v>
      </c>
      <c r="D1013" s="310">
        <v>1</v>
      </c>
      <c r="E1013" s="23"/>
      <c r="F1013" s="23"/>
      <c r="G1013" s="23"/>
      <c r="H1013" s="23"/>
    </row>
    <row r="1014" spans="2:9">
      <c r="B1014" s="23"/>
      <c r="C1014" s="23"/>
      <c r="D1014" s="304">
        <f>SUM(D1012:D1013)</f>
        <v>2</v>
      </c>
      <c r="E1014" s="305" t="s">
        <v>128</v>
      </c>
      <c r="F1014" s="23"/>
      <c r="G1014" s="23"/>
      <c r="H1014" s="23"/>
    </row>
    <row r="1015" spans="2:9">
      <c r="B1015" s="23"/>
      <c r="C1015" s="350"/>
      <c r="D1015" s="346"/>
      <c r="E1015" s="297"/>
      <c r="F1015" s="23"/>
      <c r="G1015" s="23"/>
      <c r="H1015" s="23"/>
    </row>
    <row r="1016" spans="2:9" ht="33.75" customHeight="1">
      <c r="B1016" s="523" t="s">
        <v>496</v>
      </c>
      <c r="C1016" s="523"/>
      <c r="D1016" s="523"/>
      <c r="E1016" s="523"/>
      <c r="F1016" s="523"/>
      <c r="G1016" s="523"/>
      <c r="H1016" s="523"/>
    </row>
    <row r="1017" spans="2:9">
      <c r="B1017" s="23"/>
      <c r="C1017" s="23"/>
      <c r="D1017" s="23"/>
      <c r="E1017" s="23"/>
      <c r="F1017" s="23"/>
      <c r="G1017" s="23"/>
      <c r="H1017" s="23"/>
    </row>
    <row r="1018" spans="2:9">
      <c r="B1018" s="23"/>
      <c r="C1018" s="301" t="s">
        <v>127</v>
      </c>
      <c r="D1018" s="301" t="s">
        <v>122</v>
      </c>
      <c r="E1018" s="23"/>
      <c r="F1018" s="23"/>
      <c r="G1018" s="23"/>
      <c r="H1018" s="23"/>
    </row>
    <row r="1019" spans="2:9">
      <c r="B1019" s="23"/>
      <c r="C1019" s="302" t="s">
        <v>130</v>
      </c>
      <c r="D1019" s="310">
        <v>2</v>
      </c>
      <c r="E1019" s="23"/>
      <c r="F1019" s="23"/>
      <c r="G1019" s="23"/>
      <c r="H1019" s="23"/>
    </row>
    <row r="1020" spans="2:9">
      <c r="B1020" s="23"/>
      <c r="C1020" s="23"/>
      <c r="D1020" s="304">
        <f>SUM(D1019:D1019)</f>
        <v>2</v>
      </c>
      <c r="E1020" s="305" t="s">
        <v>128</v>
      </c>
      <c r="F1020" s="23"/>
      <c r="G1020" s="23"/>
      <c r="H1020" s="23"/>
    </row>
    <row r="1021" spans="2:9">
      <c r="B1021" s="23"/>
      <c r="C1021" s="350"/>
      <c r="D1021" s="346"/>
      <c r="E1021" s="297"/>
      <c r="F1021" s="23"/>
      <c r="G1021" s="23"/>
      <c r="H1021" s="23"/>
    </row>
    <row r="1022" spans="2:9" s="26" customFormat="1" ht="18.75">
      <c r="B1022" s="25" t="s">
        <v>497</v>
      </c>
      <c r="C1022" s="25"/>
      <c r="D1022" s="25"/>
      <c r="E1022" s="28"/>
      <c r="F1022" s="28"/>
      <c r="G1022" s="28"/>
      <c r="H1022" s="28"/>
    </row>
    <row r="1023" spans="2:9" ht="31.5" customHeight="1">
      <c r="B1023" s="523" t="s">
        <v>498</v>
      </c>
      <c r="C1023" s="523"/>
      <c r="D1023" s="523"/>
      <c r="E1023" s="523"/>
      <c r="F1023" s="523"/>
      <c r="G1023" s="523"/>
      <c r="H1023" s="299"/>
    </row>
    <row r="1024" spans="2:9" s="26" customFormat="1" ht="18.75">
      <c r="B1024" s="297"/>
      <c r="C1024" s="297"/>
      <c r="D1024" s="297"/>
      <c r="E1024" s="345"/>
      <c r="F1024" s="345"/>
      <c r="G1024" s="345"/>
      <c r="H1024" s="345"/>
      <c r="I1024" s="300"/>
    </row>
    <row r="1025" spans="2:9" s="13" customFormat="1">
      <c r="B1025" s="298"/>
      <c r="C1025" s="533" t="s">
        <v>142</v>
      </c>
      <c r="D1025" s="534"/>
      <c r="E1025" s="298"/>
      <c r="F1025" s="298"/>
      <c r="G1025" s="298"/>
      <c r="H1025" s="298"/>
      <c r="I1025" s="298"/>
    </row>
    <row r="1026" spans="2:9" s="13" customFormat="1">
      <c r="B1026" s="297"/>
      <c r="C1026" s="298"/>
      <c r="D1026" s="298"/>
      <c r="E1026" s="298"/>
      <c r="F1026" s="298"/>
      <c r="G1026" s="298"/>
      <c r="H1026" s="298"/>
      <c r="I1026" s="298"/>
    </row>
    <row r="1027" spans="2:9" ht="18.75">
      <c r="B1027" s="525" t="s">
        <v>499</v>
      </c>
      <c r="C1027" s="525"/>
      <c r="D1027" s="525"/>
      <c r="E1027" s="525"/>
      <c r="F1027" s="525"/>
      <c r="G1027" s="525"/>
      <c r="H1027" s="23"/>
    </row>
    <row r="1028" spans="2:9" ht="18.75">
      <c r="B1028" s="526" t="s">
        <v>501</v>
      </c>
      <c r="C1028" s="526"/>
      <c r="D1028" s="526"/>
      <c r="E1028" s="526"/>
      <c r="F1028" s="526"/>
      <c r="G1028" s="526"/>
      <c r="H1028" s="23"/>
    </row>
    <row r="1029" spans="2:9">
      <c r="B1029" s="298"/>
      <c r="C1029" s="298"/>
      <c r="D1029" s="298"/>
      <c r="E1029" s="298"/>
      <c r="F1029" s="298"/>
      <c r="G1029" s="298"/>
      <c r="H1029" s="298"/>
    </row>
    <row r="1030" spans="2:9">
      <c r="B1030" s="298"/>
      <c r="C1030" s="298"/>
      <c r="D1030" s="298"/>
      <c r="E1030" s="298"/>
      <c r="F1030" s="298"/>
      <c r="G1030" s="298"/>
      <c r="H1030" s="298"/>
    </row>
  </sheetData>
  <mergeCells count="184">
    <mergeCell ref="B1:I1"/>
    <mergeCell ref="B24:H24"/>
    <mergeCell ref="B30:H30"/>
    <mergeCell ref="B36:H36"/>
    <mergeCell ref="B58:H58"/>
    <mergeCell ref="B104:I104"/>
    <mergeCell ref="C106:D106"/>
    <mergeCell ref="B849:H849"/>
    <mergeCell ref="B853:H853"/>
    <mergeCell ref="C85:D85"/>
    <mergeCell ref="C360:D360"/>
    <mergeCell ref="B331:B332"/>
    <mergeCell ref="B413:G413"/>
    <mergeCell ref="B428:H428"/>
    <mergeCell ref="C430:D430"/>
    <mergeCell ref="H176:H179"/>
    <mergeCell ref="B42:G42"/>
    <mergeCell ref="B171:B179"/>
    <mergeCell ref="B199:G199"/>
    <mergeCell ref="B126:G126"/>
    <mergeCell ref="B50:H50"/>
    <mergeCell ref="B83:H83"/>
    <mergeCell ref="C87:C88"/>
    <mergeCell ref="H501:I501"/>
    <mergeCell ref="C1025:D1025"/>
    <mergeCell ref="B830:H830"/>
    <mergeCell ref="B837:H837"/>
    <mergeCell ref="B845:H845"/>
    <mergeCell ref="B841:H841"/>
    <mergeCell ref="B857:H857"/>
    <mergeCell ref="B763:H763"/>
    <mergeCell ref="H253:H256"/>
    <mergeCell ref="H338:H341"/>
    <mergeCell ref="H509:H512"/>
    <mergeCell ref="C520:C521"/>
    <mergeCell ref="C380:D380"/>
    <mergeCell ref="C389:D389"/>
    <mergeCell ref="B358:H358"/>
    <mergeCell ref="B287:G287"/>
    <mergeCell ref="B324:B330"/>
    <mergeCell ref="B333:B342"/>
    <mergeCell ref="B343:B344"/>
    <mergeCell ref="B289:B306"/>
    <mergeCell ref="B1023:G1023"/>
    <mergeCell ref="B782:H782"/>
    <mergeCell ref="B788:H788"/>
    <mergeCell ref="B794:H794"/>
    <mergeCell ref="B806:H806"/>
    <mergeCell ref="B169:B170"/>
    <mergeCell ref="B28:D28"/>
    <mergeCell ref="B275:H275"/>
    <mergeCell ref="B285:H285"/>
    <mergeCell ref="B197:H197"/>
    <mergeCell ref="B62:B66"/>
    <mergeCell ref="B75:B78"/>
    <mergeCell ref="B201:B218"/>
    <mergeCell ref="B278:B279"/>
    <mergeCell ref="D87:D88"/>
    <mergeCell ref="B180:B181"/>
    <mergeCell ref="B184:B185"/>
    <mergeCell ref="B92:I92"/>
    <mergeCell ref="C116:D116"/>
    <mergeCell ref="C118:C119"/>
    <mergeCell ref="B159:B163"/>
    <mergeCell ref="B128:B145"/>
    <mergeCell ref="B182:B183"/>
    <mergeCell ref="B114:I114"/>
    <mergeCell ref="D118:D119"/>
    <mergeCell ref="D96:D97"/>
    <mergeCell ref="C94:D94"/>
    <mergeCell ref="C96:C97"/>
    <mergeCell ref="B818:H818"/>
    <mergeCell ref="B824:H824"/>
    <mergeCell ref="B1016:H1016"/>
    <mergeCell ref="B861:H861"/>
    <mergeCell ref="B980:G980"/>
    <mergeCell ref="B991:G991"/>
    <mergeCell ref="B998:G998"/>
    <mergeCell ref="B1009:H1009"/>
    <mergeCell ref="B957:H957"/>
    <mergeCell ref="B964:H964"/>
    <mergeCell ref="B971:H971"/>
    <mergeCell ref="B914:H914"/>
    <mergeCell ref="B921:H921"/>
    <mergeCell ref="B928:H928"/>
    <mergeCell ref="B934:H934"/>
    <mergeCell ref="B941:H941"/>
    <mergeCell ref="B947:H947"/>
    <mergeCell ref="B653:H654"/>
    <mergeCell ref="B661:G661"/>
    <mergeCell ref="B902:H903"/>
    <mergeCell ref="B906:B907"/>
    <mergeCell ref="B908:B909"/>
    <mergeCell ref="B910:D910"/>
    <mergeCell ref="B625:I625"/>
    <mergeCell ref="B776:F776"/>
    <mergeCell ref="B595:H596"/>
    <mergeCell ref="B632:I632"/>
    <mergeCell ref="B634:C634"/>
    <mergeCell ref="B676:H677"/>
    <mergeCell ref="B685:H686"/>
    <mergeCell ref="B694:G694"/>
    <mergeCell ref="B709:G709"/>
    <mergeCell ref="B636:I636"/>
    <mergeCell ref="B644:H645"/>
    <mergeCell ref="B724:G724"/>
    <mergeCell ref="B744:H744"/>
    <mergeCell ref="B757:H757"/>
    <mergeCell ref="B751:H751"/>
    <mergeCell ref="B739:H739"/>
    <mergeCell ref="B770:F770"/>
    <mergeCell ref="B800:H800"/>
    <mergeCell ref="B580:H581"/>
    <mergeCell ref="B590:H591"/>
    <mergeCell ref="B593:C593"/>
    <mergeCell ref="B603:H604"/>
    <mergeCell ref="B617:H618"/>
    <mergeCell ref="C7:D7"/>
    <mergeCell ref="C52:F52"/>
    <mergeCell ref="B56:D56"/>
    <mergeCell ref="B40:D40"/>
    <mergeCell ref="C60:F60"/>
    <mergeCell ref="B146:B152"/>
    <mergeCell ref="B153:B158"/>
    <mergeCell ref="B164:B168"/>
    <mergeCell ref="B447:I447"/>
    <mergeCell ref="B449:G449"/>
    <mergeCell ref="B454:D454"/>
    <mergeCell ref="B434:I434"/>
    <mergeCell ref="B452:B453"/>
    <mergeCell ref="B526:I526"/>
    <mergeCell ref="B530:I530"/>
    <mergeCell ref="B528:C528"/>
    <mergeCell ref="B456:I456"/>
    <mergeCell ref="B496:B499"/>
    <mergeCell ref="B500:B503"/>
    <mergeCell ref="B1027:G1027"/>
    <mergeCell ref="B1028:G1028"/>
    <mergeCell ref="B67:B69"/>
    <mergeCell ref="B70:B71"/>
    <mergeCell ref="B72:B74"/>
    <mergeCell ref="B79:B80"/>
    <mergeCell ref="B545:I545"/>
    <mergeCell ref="B549:D549"/>
    <mergeCell ref="B559:E559"/>
    <mergeCell ref="B553:H554"/>
    <mergeCell ref="B560:H561"/>
    <mergeCell ref="B567:E567"/>
    <mergeCell ref="B871:H871"/>
    <mergeCell ref="B878:H878"/>
    <mergeCell ref="B891:H891"/>
    <mergeCell ref="B219:B226"/>
    <mergeCell ref="B227:B232"/>
    <mergeCell ref="B233:B237"/>
    <mergeCell ref="B238:B244"/>
    <mergeCell ref="B258:B259"/>
    <mergeCell ref="B260:B261"/>
    <mergeCell ref="B262:B263"/>
    <mergeCell ref="B247:B257"/>
    <mergeCell ref="B572:H573"/>
    <mergeCell ref="B491:B495"/>
    <mergeCell ref="B504:B513"/>
    <mergeCell ref="B514:B515"/>
    <mergeCell ref="B367:I367"/>
    <mergeCell ref="B378:I378"/>
    <mergeCell ref="B398:I398"/>
    <mergeCell ref="C501:C502"/>
    <mergeCell ref="D501:D502"/>
    <mergeCell ref="E501:E502"/>
    <mergeCell ref="F501:F502"/>
    <mergeCell ref="G501:G502"/>
    <mergeCell ref="H502:I502"/>
    <mergeCell ref="H500:I500"/>
    <mergeCell ref="B405:I405"/>
    <mergeCell ref="C350:C351"/>
    <mergeCell ref="C191:C192"/>
    <mergeCell ref="C269:C270"/>
    <mergeCell ref="B307:B312"/>
    <mergeCell ref="B313:B318"/>
    <mergeCell ref="B319:B323"/>
    <mergeCell ref="B459:B477"/>
    <mergeCell ref="B478:B484"/>
    <mergeCell ref="B485:B490"/>
    <mergeCell ref="B245:B24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rowBreaks count="14" manualBreakCount="14">
    <brk id="82" min="1" max="8" man="1"/>
    <brk id="121" min="1" max="8" man="1"/>
    <brk id="196" min="1" max="8" man="1"/>
    <brk id="274" min="1" max="8" man="1"/>
    <brk id="347" min="1" max="8" man="1"/>
    <brk id="388" min="1" max="8" man="1"/>
    <brk id="455" min="1" max="8" man="1"/>
    <brk id="517" min="1" max="8" man="1"/>
    <brk id="602" min="1" max="8" man="1"/>
    <brk id="691" min="1" max="8" man="1"/>
    <brk id="775" min="1" max="8" man="1"/>
    <brk id="856" min="1" max="8" man="1"/>
    <brk id="927" min="1" max="8" man="1"/>
    <brk id="1006" min="1" max="8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1385-F4B3-4FCA-91B2-193482C240FB}">
  <dimension ref="A1:K38"/>
  <sheetViews>
    <sheetView view="pageBreakPreview" topLeftCell="A34" zoomScaleNormal="100" zoomScaleSheetLayoutView="100" workbookViewId="0">
      <selection activeCell="B38" sqref="B38:C38"/>
    </sheetView>
  </sheetViews>
  <sheetFormatPr defaultRowHeight="12.75"/>
  <cols>
    <col min="1" max="1" width="9.33203125" style="408"/>
    <col min="3" max="3" width="43.6640625" customWidth="1"/>
    <col min="4" max="4" width="26.1640625" style="40" customWidth="1"/>
    <col min="5" max="5" width="13" style="40" customWidth="1"/>
    <col min="6" max="6" width="17.33203125" style="40" customWidth="1"/>
    <col min="7" max="7" width="18.83203125" style="40" customWidth="1"/>
    <col min="8" max="8" width="18.1640625" style="40" customWidth="1"/>
    <col min="9" max="9" width="19.33203125" style="40" customWidth="1"/>
    <col min="10" max="10" width="17" style="40" customWidth="1"/>
    <col min="11" max="11" width="20" style="40" customWidth="1"/>
  </cols>
  <sheetData>
    <row r="1" spans="1:11" s="26" customFormat="1" ht="18.75">
      <c r="A1" s="547" t="s">
        <v>508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</row>
    <row r="2" spans="1:11" s="26" customFormat="1" ht="18.75">
      <c r="A2" s="547" t="s">
        <v>95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</row>
    <row r="3" spans="1:11" ht="6.75" customHeight="1" thickBot="1">
      <c r="A3" s="395"/>
      <c r="B3" s="2"/>
      <c r="C3" s="3"/>
      <c r="D3" s="410"/>
      <c r="E3" s="420"/>
      <c r="F3" s="363"/>
      <c r="G3" s="377"/>
      <c r="H3" s="377"/>
      <c r="I3" s="377"/>
      <c r="J3" s="377"/>
      <c r="K3" s="377"/>
    </row>
    <row r="4" spans="1:11" ht="6.75" customHeight="1" thickBot="1">
      <c r="A4" s="396"/>
      <c r="B4" s="4"/>
      <c r="C4" s="5"/>
      <c r="D4" s="411"/>
      <c r="E4" s="421"/>
      <c r="F4" s="364"/>
      <c r="G4" s="378"/>
      <c r="H4" s="378"/>
      <c r="I4" s="378"/>
      <c r="J4" s="378"/>
      <c r="K4" s="379"/>
    </row>
    <row r="5" spans="1:11" ht="18">
      <c r="A5" s="580" t="s">
        <v>509</v>
      </c>
      <c r="B5" s="6"/>
      <c r="C5" s="7"/>
      <c r="D5" s="380"/>
      <c r="E5" s="422"/>
      <c r="F5" s="365"/>
      <c r="G5" s="380"/>
      <c r="H5" s="380"/>
      <c r="I5" s="380"/>
      <c r="J5" s="380"/>
      <c r="K5" s="381"/>
    </row>
    <row r="6" spans="1:11" ht="19.5" customHeight="1">
      <c r="A6" s="397" t="s">
        <v>96</v>
      </c>
      <c r="B6" s="8"/>
      <c r="C6" s="9"/>
      <c r="D6" s="444"/>
      <c r="E6" s="555" t="s">
        <v>486</v>
      </c>
      <c r="F6" s="555"/>
      <c r="G6" s="555"/>
      <c r="H6" s="555"/>
      <c r="I6" s="555"/>
      <c r="J6" s="555"/>
      <c r="K6" s="556"/>
    </row>
    <row r="7" spans="1:11" ht="30.75" customHeight="1" thickBot="1">
      <c r="A7" s="398" t="s">
        <v>97</v>
      </c>
      <c r="B7" s="10"/>
      <c r="C7" s="11"/>
      <c r="D7" s="445"/>
      <c r="E7" s="557" t="s">
        <v>372</v>
      </c>
      <c r="F7" s="557"/>
      <c r="G7" s="557"/>
      <c r="H7" s="557"/>
      <c r="I7" s="557"/>
      <c r="J7" s="557"/>
      <c r="K7" s="558"/>
    </row>
    <row r="8" spans="1:11" ht="16.5" thickBot="1">
      <c r="A8" s="399"/>
      <c r="B8" s="12"/>
      <c r="C8" s="2"/>
      <c r="D8" s="412"/>
      <c r="E8" s="420"/>
      <c r="F8" s="366"/>
      <c r="G8" s="366"/>
      <c r="H8" s="366"/>
      <c r="I8" s="366"/>
      <c r="J8" s="366"/>
      <c r="K8" s="382"/>
    </row>
    <row r="9" spans="1:11" ht="13.5" thickBot="1">
      <c r="A9" s="400"/>
      <c r="B9" s="14"/>
      <c r="C9" s="14"/>
      <c r="D9" s="376"/>
      <c r="E9" s="423"/>
      <c r="F9" s="559" t="s">
        <v>502</v>
      </c>
      <c r="G9" s="560"/>
      <c r="H9" s="560"/>
      <c r="I9" s="560"/>
      <c r="J9" s="560"/>
      <c r="K9" s="561"/>
    </row>
    <row r="10" spans="1:11" ht="13.5" thickBot="1">
      <c r="A10" s="401"/>
      <c r="B10" s="562" t="s">
        <v>98</v>
      </c>
      <c r="C10" s="563"/>
      <c r="D10" s="568" t="s">
        <v>99</v>
      </c>
      <c r="E10" s="571" t="s">
        <v>100</v>
      </c>
      <c r="F10" s="559" t="s">
        <v>101</v>
      </c>
      <c r="G10" s="574"/>
      <c r="H10" s="559" t="s">
        <v>102</v>
      </c>
      <c r="I10" s="574"/>
      <c r="J10" s="559" t="s">
        <v>103</v>
      </c>
      <c r="K10" s="575"/>
    </row>
    <row r="11" spans="1:11">
      <c r="A11" s="402" t="s">
        <v>104</v>
      </c>
      <c r="B11" s="564"/>
      <c r="C11" s="565"/>
      <c r="D11" s="569"/>
      <c r="E11" s="572"/>
      <c r="F11" s="367" t="s">
        <v>105</v>
      </c>
      <c r="G11" s="383"/>
      <c r="H11" s="551" t="s">
        <v>106</v>
      </c>
      <c r="I11" s="576"/>
      <c r="J11" s="551" t="s">
        <v>107</v>
      </c>
      <c r="K11" s="552"/>
    </row>
    <row r="12" spans="1:11">
      <c r="A12" s="402"/>
      <c r="B12" s="566"/>
      <c r="C12" s="567"/>
      <c r="D12" s="570"/>
      <c r="E12" s="573"/>
      <c r="F12" s="368" t="s">
        <v>108</v>
      </c>
      <c r="G12" s="384" t="s">
        <v>109</v>
      </c>
      <c r="H12" s="368" t="s">
        <v>108</v>
      </c>
      <c r="I12" s="384" t="s">
        <v>109</v>
      </c>
      <c r="J12" s="368" t="s">
        <v>108</v>
      </c>
      <c r="K12" s="385" t="s">
        <v>109</v>
      </c>
    </row>
    <row r="13" spans="1:11" ht="18" customHeight="1">
      <c r="A13" s="403">
        <v>1</v>
      </c>
      <c r="B13" s="15" t="s">
        <v>209</v>
      </c>
      <c r="C13" s="16"/>
      <c r="D13" s="413">
        <f>'PLANILHA DE CUSTOS'!I11</f>
        <v>1341.5364</v>
      </c>
      <c r="E13" s="424">
        <f t="shared" ref="E13:E33" si="0">D13/$D$35</f>
        <v>6.7514830344214526E-3</v>
      </c>
      <c r="F13" s="369">
        <v>100</v>
      </c>
      <c r="G13" s="386">
        <f t="shared" ref="G13:G35" si="1">F13</f>
        <v>100</v>
      </c>
      <c r="H13" s="369"/>
      <c r="I13" s="386">
        <f>H13+G13</f>
        <v>100</v>
      </c>
      <c r="J13" s="369"/>
      <c r="K13" s="387">
        <f>J13+I13</f>
        <v>100</v>
      </c>
    </row>
    <row r="14" spans="1:11" ht="20.25" customHeight="1">
      <c r="A14" s="403">
        <v>2</v>
      </c>
      <c r="B14" s="553" t="s">
        <v>193</v>
      </c>
      <c r="C14" s="554"/>
      <c r="D14" s="413">
        <f>'PLANILHA DE CUSTOS'!I19</f>
        <v>1293.5711240000003</v>
      </c>
      <c r="E14" s="424">
        <f t="shared" si="0"/>
        <v>6.5100905927736969E-3</v>
      </c>
      <c r="F14" s="369">
        <v>100</v>
      </c>
      <c r="G14" s="386">
        <f t="shared" si="1"/>
        <v>100</v>
      </c>
      <c r="H14" s="369"/>
      <c r="I14" s="386">
        <f t="shared" ref="I14:I28" si="2">H14+G14</f>
        <v>100</v>
      </c>
      <c r="J14" s="369"/>
      <c r="K14" s="387">
        <f>J14+I14</f>
        <v>100</v>
      </c>
    </row>
    <row r="15" spans="1:11" ht="20.25" customHeight="1">
      <c r="A15" s="403">
        <v>3</v>
      </c>
      <c r="B15" s="17" t="s">
        <v>210</v>
      </c>
      <c r="C15" s="18"/>
      <c r="D15" s="414">
        <f>'PLANILHA DE CUSTOS'!I24</f>
        <v>6474.0201579999994</v>
      </c>
      <c r="E15" s="424">
        <f t="shared" si="0"/>
        <v>3.2581476925441222E-2</v>
      </c>
      <c r="F15" s="370">
        <v>100</v>
      </c>
      <c r="G15" s="386">
        <f t="shared" si="1"/>
        <v>100</v>
      </c>
      <c r="H15" s="370"/>
      <c r="I15" s="386">
        <f t="shared" si="2"/>
        <v>100</v>
      </c>
      <c r="J15" s="370"/>
      <c r="K15" s="387">
        <f t="shared" ref="K15:K31" si="3">J15+I15</f>
        <v>100</v>
      </c>
    </row>
    <row r="16" spans="1:11" ht="18.75" customHeight="1">
      <c r="A16" s="403">
        <v>4</v>
      </c>
      <c r="B16" s="17" t="s">
        <v>280</v>
      </c>
      <c r="C16" s="18"/>
      <c r="D16" s="414">
        <f>'PLANILHA DE CUSTOS'!I27</f>
        <v>3578.8482839999997</v>
      </c>
      <c r="E16" s="424">
        <f t="shared" si="0"/>
        <v>1.8011090472233423E-2</v>
      </c>
      <c r="F16" s="370">
        <v>100</v>
      </c>
      <c r="G16" s="386">
        <f t="shared" ref="G16:G17" si="4">F16</f>
        <v>100</v>
      </c>
      <c r="H16" s="370"/>
      <c r="I16" s="386">
        <f t="shared" si="2"/>
        <v>100</v>
      </c>
      <c r="J16" s="370"/>
      <c r="K16" s="387">
        <f t="shared" ref="K16:K17" si="5">J16+I16</f>
        <v>100</v>
      </c>
    </row>
    <row r="17" spans="1:11" ht="21.75" customHeight="1">
      <c r="A17" s="403">
        <v>5</v>
      </c>
      <c r="B17" s="17" t="s">
        <v>311</v>
      </c>
      <c r="C17" s="18"/>
      <c r="D17" s="414">
        <f>'PLANILHA DE CUSTOS'!I30</f>
        <v>166.59695360000001</v>
      </c>
      <c r="E17" s="424">
        <f t="shared" si="0"/>
        <v>8.3842414251055581E-4</v>
      </c>
      <c r="F17" s="370">
        <v>100</v>
      </c>
      <c r="G17" s="386">
        <f t="shared" si="4"/>
        <v>100</v>
      </c>
      <c r="H17" s="370"/>
      <c r="I17" s="386">
        <f t="shared" ref="I17" si="6">H17+G17</f>
        <v>100</v>
      </c>
      <c r="J17" s="370"/>
      <c r="K17" s="387">
        <f t="shared" si="5"/>
        <v>100</v>
      </c>
    </row>
    <row r="18" spans="1:11" ht="21" customHeight="1">
      <c r="A18" s="403">
        <v>6</v>
      </c>
      <c r="B18" s="17" t="s">
        <v>211</v>
      </c>
      <c r="C18" s="18"/>
      <c r="D18" s="414">
        <f>'PLANILHA DE CUSTOS'!I36</f>
        <v>25861.71372</v>
      </c>
      <c r="E18" s="424">
        <f t="shared" si="0"/>
        <v>0.13015295106539376</v>
      </c>
      <c r="F18" s="370">
        <v>50</v>
      </c>
      <c r="G18" s="386">
        <f t="shared" si="1"/>
        <v>50</v>
      </c>
      <c r="H18" s="370">
        <v>50</v>
      </c>
      <c r="I18" s="386">
        <f t="shared" si="2"/>
        <v>100</v>
      </c>
      <c r="J18" s="370"/>
      <c r="K18" s="387">
        <f t="shared" si="3"/>
        <v>100</v>
      </c>
    </row>
    <row r="19" spans="1:11" ht="20.25" customHeight="1">
      <c r="A19" s="403">
        <v>7</v>
      </c>
      <c r="B19" s="17" t="s">
        <v>233</v>
      </c>
      <c r="C19" s="18"/>
      <c r="D19" s="414">
        <f>'PLANILHA DE CUSTOS'!I39</f>
        <v>3.0680803999999999</v>
      </c>
      <c r="E19" s="447">
        <f t="shared" si="0"/>
        <v>1.5440574529950126E-5</v>
      </c>
      <c r="F19" s="370">
        <v>100</v>
      </c>
      <c r="G19" s="386">
        <f t="shared" si="1"/>
        <v>100</v>
      </c>
      <c r="H19" s="370"/>
      <c r="I19" s="386">
        <f t="shared" si="2"/>
        <v>100</v>
      </c>
      <c r="J19" s="370"/>
      <c r="K19" s="387">
        <f t="shared" si="3"/>
        <v>100</v>
      </c>
    </row>
    <row r="20" spans="1:11" ht="20.25" customHeight="1">
      <c r="A20" s="403">
        <v>8</v>
      </c>
      <c r="B20" s="17" t="s">
        <v>212</v>
      </c>
      <c r="C20" s="18"/>
      <c r="D20" s="414">
        <f>'PLANILHA DE CUSTOS'!I45</f>
        <v>11290.717652000001</v>
      </c>
      <c r="E20" s="424">
        <f t="shared" si="0"/>
        <v>5.6822229105315987E-2</v>
      </c>
      <c r="F20" s="370">
        <v>50</v>
      </c>
      <c r="G20" s="386">
        <f t="shared" si="1"/>
        <v>50</v>
      </c>
      <c r="H20" s="370">
        <v>50</v>
      </c>
      <c r="I20" s="386">
        <f t="shared" si="2"/>
        <v>100</v>
      </c>
      <c r="J20" s="370"/>
      <c r="K20" s="387">
        <f t="shared" si="3"/>
        <v>100</v>
      </c>
    </row>
    <row r="21" spans="1:11" ht="17.25" customHeight="1">
      <c r="A21" s="403">
        <v>9</v>
      </c>
      <c r="B21" s="17" t="s">
        <v>214</v>
      </c>
      <c r="C21" s="18"/>
      <c r="D21" s="414">
        <f>'PLANILHA DE CUSTOS'!I48</f>
        <v>8506.3201919999992</v>
      </c>
      <c r="E21" s="424">
        <f t="shared" si="0"/>
        <v>4.2809331496070198E-2</v>
      </c>
      <c r="F21" s="370"/>
      <c r="G21" s="386">
        <f t="shared" si="1"/>
        <v>0</v>
      </c>
      <c r="H21" s="370">
        <v>100</v>
      </c>
      <c r="I21" s="386">
        <f t="shared" si="2"/>
        <v>100</v>
      </c>
      <c r="J21" s="370"/>
      <c r="K21" s="387">
        <f t="shared" si="3"/>
        <v>100</v>
      </c>
    </row>
    <row r="22" spans="1:11" ht="18" customHeight="1">
      <c r="A22" s="403">
        <v>10</v>
      </c>
      <c r="B22" s="17" t="s">
        <v>192</v>
      </c>
      <c r="C22" s="18"/>
      <c r="D22" s="414">
        <f>'PLANILHA DE CUSTOS'!I51</f>
        <v>2318</v>
      </c>
      <c r="E22" s="424">
        <f t="shared" si="0"/>
        <v>1.1665682477038213E-2</v>
      </c>
      <c r="F22" s="370"/>
      <c r="G22" s="386">
        <f t="shared" si="1"/>
        <v>0</v>
      </c>
      <c r="H22" s="370">
        <v>100</v>
      </c>
      <c r="I22" s="386">
        <f t="shared" si="2"/>
        <v>100</v>
      </c>
      <c r="J22" s="370"/>
      <c r="K22" s="387">
        <f t="shared" si="3"/>
        <v>100</v>
      </c>
    </row>
    <row r="23" spans="1:11" ht="17.25" customHeight="1">
      <c r="A23" s="403">
        <v>11</v>
      </c>
      <c r="B23" s="17" t="s">
        <v>213</v>
      </c>
      <c r="C23" s="18"/>
      <c r="D23" s="414">
        <f>'PLANILHA DE CUSTOS'!I59</f>
        <v>13248.175444</v>
      </c>
      <c r="E23" s="424">
        <f t="shared" si="0"/>
        <v>6.6673428873942522E-2</v>
      </c>
      <c r="F23" s="370"/>
      <c r="G23" s="386">
        <f t="shared" si="1"/>
        <v>0</v>
      </c>
      <c r="H23" s="370"/>
      <c r="I23" s="386">
        <f>H23+G23</f>
        <v>0</v>
      </c>
      <c r="J23" s="370">
        <v>100</v>
      </c>
      <c r="K23" s="387">
        <f t="shared" si="3"/>
        <v>100</v>
      </c>
    </row>
    <row r="24" spans="1:11" ht="18.75" customHeight="1">
      <c r="A24" s="403">
        <v>12</v>
      </c>
      <c r="B24" s="17" t="s">
        <v>167</v>
      </c>
      <c r="C24" s="18"/>
      <c r="D24" s="414">
        <f>'PLANILHA DE CUSTOS'!I63</f>
        <v>650.16020400000002</v>
      </c>
      <c r="E24" s="424">
        <f t="shared" si="0"/>
        <v>3.2720286881235505E-3</v>
      </c>
      <c r="F24" s="370"/>
      <c r="G24" s="386">
        <f t="shared" si="1"/>
        <v>0</v>
      </c>
      <c r="H24" s="370"/>
      <c r="I24" s="386">
        <f t="shared" si="2"/>
        <v>0</v>
      </c>
      <c r="J24" s="370">
        <v>100</v>
      </c>
      <c r="K24" s="387">
        <f t="shared" si="3"/>
        <v>100</v>
      </c>
    </row>
    <row r="25" spans="1:11" ht="17.25" customHeight="1">
      <c r="A25" s="403">
        <v>13</v>
      </c>
      <c r="B25" s="17" t="s">
        <v>170</v>
      </c>
      <c r="C25" s="18"/>
      <c r="D25" s="414">
        <f>'PLANILHA DE CUSTOS'!I76</f>
        <v>11896.158512</v>
      </c>
      <c r="E25" s="424">
        <f t="shared" si="0"/>
        <v>5.9869200991159353E-2</v>
      </c>
      <c r="F25" s="370">
        <v>50</v>
      </c>
      <c r="G25" s="386">
        <f t="shared" si="1"/>
        <v>50</v>
      </c>
      <c r="H25" s="370">
        <v>50</v>
      </c>
      <c r="I25" s="386">
        <f t="shared" si="2"/>
        <v>100</v>
      </c>
      <c r="J25" s="370"/>
      <c r="K25" s="387">
        <f t="shared" si="3"/>
        <v>100</v>
      </c>
    </row>
    <row r="26" spans="1:11" ht="16.5" customHeight="1">
      <c r="A26" s="403">
        <v>14</v>
      </c>
      <c r="B26" s="17" t="s">
        <v>279</v>
      </c>
      <c r="C26" s="18"/>
      <c r="D26" s="414">
        <f>'PLANILHA DE CUSTOS'!I84</f>
        <v>2582.7399999999998</v>
      </c>
      <c r="E26" s="424">
        <f t="shared" si="0"/>
        <v>1.2998026212573628E-2</v>
      </c>
      <c r="F26" s="370">
        <v>70</v>
      </c>
      <c r="G26" s="386">
        <f t="shared" si="1"/>
        <v>70</v>
      </c>
      <c r="H26" s="370">
        <v>30</v>
      </c>
      <c r="I26" s="386">
        <f t="shared" si="2"/>
        <v>100</v>
      </c>
      <c r="J26" s="370"/>
      <c r="K26" s="387">
        <f t="shared" si="3"/>
        <v>100</v>
      </c>
    </row>
    <row r="27" spans="1:11" ht="19.5" customHeight="1">
      <c r="A27" s="403">
        <v>15</v>
      </c>
      <c r="B27" s="17" t="s">
        <v>339</v>
      </c>
      <c r="C27" s="18"/>
      <c r="D27" s="414">
        <f>'PLANILHA DE CUSTOS'!I111</f>
        <v>71995.286599999992</v>
      </c>
      <c r="E27" s="424">
        <f t="shared" si="0"/>
        <v>0.36232707218246935</v>
      </c>
      <c r="F27" s="370">
        <v>40</v>
      </c>
      <c r="G27" s="386">
        <f t="shared" si="1"/>
        <v>40</v>
      </c>
      <c r="H27" s="370">
        <v>30</v>
      </c>
      <c r="I27" s="386">
        <f>H27+G27</f>
        <v>70</v>
      </c>
      <c r="J27" s="370">
        <v>30</v>
      </c>
      <c r="K27" s="387">
        <f t="shared" ref="I27:K32" si="7">J27+I27</f>
        <v>100</v>
      </c>
    </row>
    <row r="28" spans="1:11" ht="19.5" customHeight="1">
      <c r="A28" s="403">
        <v>16</v>
      </c>
      <c r="B28" s="548" t="s">
        <v>157</v>
      </c>
      <c r="C28" s="549"/>
      <c r="D28" s="414">
        <f>'PLANILHA DE CUSTOS'!I119</f>
        <v>22692.138469999998</v>
      </c>
      <c r="E28" s="424">
        <f t="shared" si="0"/>
        <v>0.11420158848835363</v>
      </c>
      <c r="F28" s="370"/>
      <c r="G28" s="386">
        <f t="shared" si="1"/>
        <v>0</v>
      </c>
      <c r="H28" s="370">
        <v>70</v>
      </c>
      <c r="I28" s="386">
        <f t="shared" si="2"/>
        <v>70</v>
      </c>
      <c r="J28" s="370">
        <v>30</v>
      </c>
      <c r="K28" s="387">
        <f t="shared" si="7"/>
        <v>100</v>
      </c>
    </row>
    <row r="29" spans="1:11" ht="18" customHeight="1">
      <c r="A29" s="403">
        <v>17</v>
      </c>
      <c r="B29" s="17" t="s">
        <v>182</v>
      </c>
      <c r="C29" s="18"/>
      <c r="D29" s="414">
        <f>'PLANILHA DE CUSTOS'!I127</f>
        <v>3070.2642000000005</v>
      </c>
      <c r="E29" s="424">
        <f t="shared" si="0"/>
        <v>1.5451564830810074E-2</v>
      </c>
      <c r="F29" s="370">
        <v>5</v>
      </c>
      <c r="G29" s="386">
        <f t="shared" si="1"/>
        <v>5</v>
      </c>
      <c r="H29" s="370">
        <v>65</v>
      </c>
      <c r="I29" s="387">
        <f t="shared" si="7"/>
        <v>70</v>
      </c>
      <c r="J29" s="370">
        <v>30</v>
      </c>
      <c r="K29" s="387">
        <f t="shared" si="7"/>
        <v>100</v>
      </c>
    </row>
    <row r="30" spans="1:11" ht="20.25" customHeight="1">
      <c r="A30" s="403">
        <v>18</v>
      </c>
      <c r="B30" s="17" t="s">
        <v>218</v>
      </c>
      <c r="C30" s="18"/>
      <c r="D30" s="414">
        <f>'PLANILHA DE CUSTOS'!I132</f>
        <v>288.487056</v>
      </c>
      <c r="E30" s="424">
        <f t="shared" si="0"/>
        <v>1.4518543546296555E-3</v>
      </c>
      <c r="F30" s="370"/>
      <c r="G30" s="386">
        <f t="shared" si="1"/>
        <v>0</v>
      </c>
      <c r="H30" s="370"/>
      <c r="I30" s="386">
        <f t="shared" ref="G30:I32" si="8">H30</f>
        <v>0</v>
      </c>
      <c r="J30" s="370">
        <v>100</v>
      </c>
      <c r="K30" s="387">
        <f t="shared" si="7"/>
        <v>100</v>
      </c>
    </row>
    <row r="31" spans="1:11" ht="19.5" customHeight="1">
      <c r="A31" s="403">
        <v>19</v>
      </c>
      <c r="B31" s="17" t="s">
        <v>185</v>
      </c>
      <c r="C31" s="18"/>
      <c r="D31" s="414">
        <f>'PLANILHA DE CUSTOS'!I137</f>
        <v>2326.3936000000003</v>
      </c>
      <c r="E31" s="424">
        <f t="shared" si="0"/>
        <v>1.1707924527270859E-2</v>
      </c>
      <c r="F31" s="370"/>
      <c r="G31" s="386">
        <f t="shared" si="8"/>
        <v>0</v>
      </c>
      <c r="H31" s="370">
        <v>100</v>
      </c>
      <c r="I31" s="386">
        <f t="shared" si="8"/>
        <v>100</v>
      </c>
      <c r="J31" s="370"/>
      <c r="K31" s="387">
        <f t="shared" si="3"/>
        <v>100</v>
      </c>
    </row>
    <row r="32" spans="1:11" ht="19.5" customHeight="1">
      <c r="A32" s="403">
        <v>20</v>
      </c>
      <c r="B32" s="17" t="s">
        <v>43</v>
      </c>
      <c r="C32" s="18"/>
      <c r="D32" s="414">
        <f>'PLANILHA DE CUSTOS'!I141</f>
        <v>3969.88</v>
      </c>
      <c r="E32" s="424">
        <f t="shared" si="0"/>
        <v>1.9979016200148605E-2</v>
      </c>
      <c r="F32" s="370"/>
      <c r="G32" s="386">
        <f t="shared" si="1"/>
        <v>0</v>
      </c>
      <c r="H32" s="370"/>
      <c r="I32" s="386">
        <f t="shared" si="8"/>
        <v>0</v>
      </c>
      <c r="J32" s="370">
        <v>100</v>
      </c>
      <c r="K32" s="387">
        <f t="shared" si="7"/>
        <v>100</v>
      </c>
    </row>
    <row r="33" spans="1:11" ht="20.25" customHeight="1" thickBot="1">
      <c r="A33" s="404">
        <v>21</v>
      </c>
      <c r="B33" s="37" t="s">
        <v>186</v>
      </c>
      <c r="C33" s="38"/>
      <c r="D33" s="415">
        <f>'PLANILHA DE CUSTOS'!I144</f>
        <v>5148.3999999999996</v>
      </c>
      <c r="E33" s="425">
        <f t="shared" si="0"/>
        <v>2.5910094764790136E-2</v>
      </c>
      <c r="F33" s="371"/>
      <c r="G33" s="388">
        <f t="shared" ref="G33" si="9">F33</f>
        <v>0</v>
      </c>
      <c r="H33" s="371">
        <v>100</v>
      </c>
      <c r="I33" s="388">
        <f t="shared" ref="I33" si="10">H33+G33</f>
        <v>100</v>
      </c>
      <c r="J33" s="371"/>
      <c r="K33" s="389">
        <f t="shared" ref="K33" si="11">J33+I33</f>
        <v>100</v>
      </c>
    </row>
    <row r="34" spans="1:11" ht="8.25" customHeight="1" thickBot="1">
      <c r="A34" s="405"/>
      <c r="B34" s="19"/>
      <c r="C34" s="19"/>
      <c r="D34" s="416"/>
      <c r="E34" s="426"/>
      <c r="F34" s="372"/>
      <c r="G34" s="376"/>
      <c r="H34" s="372"/>
      <c r="I34" s="390"/>
      <c r="J34" s="372"/>
      <c r="K34" s="391"/>
    </row>
    <row r="35" spans="1:11" ht="22.5" customHeight="1" thickBot="1">
      <c r="A35" s="406" t="s">
        <v>110</v>
      </c>
      <c r="B35" s="20"/>
      <c r="C35" s="20"/>
      <c r="D35" s="417">
        <f>SUM(D13:D33)</f>
        <v>198702.47665000003</v>
      </c>
      <c r="E35" s="427">
        <f>SUM(E13:E33)</f>
        <v>0.99999999999999989</v>
      </c>
      <c r="F35" s="373">
        <f>SUMPRODUCT(F13:F33,$E$13:$E$33)/100</f>
        <v>0.34293222178617472</v>
      </c>
      <c r="G35" s="392">
        <f t="shared" si="1"/>
        <v>0.34293222178617472</v>
      </c>
      <c r="H35" s="393">
        <f>SUMPRODUCT(H13:H33,$E$13:$E$33)/100</f>
        <v>0.41809738244649097</v>
      </c>
      <c r="I35" s="392">
        <f>H35+G35</f>
        <v>0.76102960423266564</v>
      </c>
      <c r="J35" s="393">
        <f>SUMPRODUCT(J13:J33,$E$13:$E$33)/100</f>
        <v>0.23897039576733425</v>
      </c>
      <c r="K35" s="392">
        <f>J35+I35</f>
        <v>0.99999999999999989</v>
      </c>
    </row>
    <row r="36" spans="1:11" ht="21.75" customHeight="1" thickBot="1">
      <c r="A36" s="407" t="s">
        <v>111</v>
      </c>
      <c r="B36" s="20"/>
      <c r="C36" s="21"/>
      <c r="D36" s="418">
        <f>D35</f>
        <v>198702.47665000003</v>
      </c>
      <c r="E36" s="427">
        <f>SUM(E13:E33)</f>
        <v>0.99999999999999989</v>
      </c>
      <c r="F36" s="374">
        <f>IF(41=0,0,F35*D35)</f>
        <v>68141.481792000006</v>
      </c>
      <c r="G36" s="394"/>
      <c r="H36" s="374">
        <f>IF($D$35=0,0,H35*$D$35)</f>
        <v>83076.985373000003</v>
      </c>
      <c r="I36" s="394"/>
      <c r="J36" s="374">
        <f>IF($D$35=0,0,J35*$D$35)</f>
        <v>47484.009485000002</v>
      </c>
      <c r="K36" s="394"/>
    </row>
    <row r="37" spans="1:11" ht="15.75">
      <c r="A37" s="449"/>
      <c r="B37" s="14"/>
      <c r="C37" s="14"/>
      <c r="D37" s="419"/>
      <c r="E37" s="423"/>
      <c r="F37" s="375"/>
      <c r="G37" s="376"/>
      <c r="H37" s="375"/>
      <c r="I37" s="376"/>
      <c r="J37" s="376"/>
      <c r="K37" s="376"/>
    </row>
    <row r="38" spans="1:11" ht="15">
      <c r="A38" s="448"/>
      <c r="B38" s="550" t="s">
        <v>510</v>
      </c>
      <c r="C38" s="550"/>
      <c r="D38" s="376"/>
      <c r="E38" s="423"/>
      <c r="F38" s="376"/>
      <c r="G38" s="376"/>
      <c r="H38" s="376"/>
      <c r="I38" s="376"/>
      <c r="J38" s="376"/>
      <c r="K38" s="376"/>
    </row>
  </sheetData>
  <mergeCells count="16">
    <mergeCell ref="A1:K1"/>
    <mergeCell ref="A2:K2"/>
    <mergeCell ref="B28:C28"/>
    <mergeCell ref="B38:C38"/>
    <mergeCell ref="J11:K11"/>
    <mergeCell ref="B14:C14"/>
    <mergeCell ref="E6:K6"/>
    <mergeCell ref="E7:K7"/>
    <mergeCell ref="F9:K9"/>
    <mergeCell ref="B10:C12"/>
    <mergeCell ref="D10:D12"/>
    <mergeCell ref="E10:E12"/>
    <mergeCell ref="F10:G10"/>
    <mergeCell ref="H10:I10"/>
    <mergeCell ref="J10:K10"/>
    <mergeCell ref="H11:I1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DE CUSTOS</vt:lpstr>
      <vt:lpstr>MEMORIAL DE CALCULO</vt:lpstr>
      <vt:lpstr>CRONOGRAMA</vt:lpstr>
      <vt:lpstr>CRONOGRAMA!Area_de_impressao</vt:lpstr>
      <vt:lpstr>'MEMORIAL DE CALCULO'!Area_de_impressao</vt:lpstr>
      <vt:lpstr>'PLANILHA DE CUSTOS'!Area_de_impressao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Helenice Costa</cp:lastModifiedBy>
  <cp:lastPrinted>2021-10-29T16:28:43Z</cp:lastPrinted>
  <dcterms:created xsi:type="dcterms:W3CDTF">2021-08-17T21:46:31Z</dcterms:created>
  <dcterms:modified xsi:type="dcterms:W3CDTF">2021-10-29T17:08:01Z</dcterms:modified>
</cp:coreProperties>
</file>